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1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externalReferences>
    <externalReference r:id="rId6"/>
  </externalReferences>
  <definedNames>
    <definedName name="_xlnm._FilterDatabase" localSheetId="1" hidden="1">F6a!$A$3:$G$155</definedName>
    <definedName name="_xlnm._FilterDatabase" localSheetId="2" hidden="1">F6b!$A$3:$G$13</definedName>
    <definedName name="_xlnm._FilterDatabase" localSheetId="3" hidden="1">F6c!$A$3:$G$79</definedName>
    <definedName name="_xlnm._FilterDatabase" localSheetId="4" hidden="1">F6d!$A$3:$G$27</definedName>
    <definedName name="_xlnm.Print_Titles" localSheetId="1">F6a!$1:$3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C54" i="1"/>
  <c r="C14" i="2" l="1"/>
  <c r="C13" i="2"/>
  <c r="C12" i="2"/>
  <c r="C11" i="2"/>
  <c r="C10" i="2"/>
  <c r="C9" i="2"/>
  <c r="C8" i="2"/>
  <c r="C7" i="2"/>
  <c r="C6" i="2"/>
  <c r="F14" i="2" l="1"/>
  <c r="F13" i="2"/>
  <c r="F12" i="2"/>
  <c r="F11" i="2"/>
  <c r="F10" i="2"/>
  <c r="F9" i="2"/>
  <c r="F8" i="2"/>
  <c r="F7" i="2"/>
  <c r="F6" i="2"/>
  <c r="E14" i="2"/>
  <c r="E13" i="2"/>
  <c r="E12" i="2"/>
  <c r="E11" i="2"/>
  <c r="E10" i="2"/>
  <c r="E9" i="2"/>
  <c r="E8" i="2"/>
  <c r="E7" i="2"/>
  <c r="E6" i="2"/>
  <c r="B14" i="2"/>
  <c r="D14" i="2" s="1"/>
  <c r="B13" i="2"/>
  <c r="D13" i="2" s="1"/>
  <c r="B12" i="2"/>
  <c r="D12" i="2" s="1"/>
  <c r="B11" i="2"/>
  <c r="D11" i="2" s="1"/>
  <c r="B10" i="2"/>
  <c r="D10" i="2" s="1"/>
  <c r="B9" i="2"/>
  <c r="D9" i="2" s="1"/>
  <c r="B8" i="2"/>
  <c r="D8" i="2" s="1"/>
  <c r="B7" i="2"/>
  <c r="D7" i="2" s="1"/>
  <c r="B6" i="2"/>
  <c r="D6" i="2" s="1"/>
  <c r="G14" i="2" l="1"/>
  <c r="E5" i="2"/>
  <c r="B5" i="2"/>
  <c r="F5" i="2"/>
  <c r="D5" i="2"/>
  <c r="C5" i="2"/>
  <c r="F77" i="1" l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5" i="1"/>
  <c r="E65" i="1"/>
  <c r="D65" i="1"/>
  <c r="C65" i="1"/>
  <c r="B65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6" i="1"/>
  <c r="E56" i="1"/>
  <c r="D56" i="1"/>
  <c r="C56" i="1"/>
  <c r="B56" i="1"/>
  <c r="F55" i="1"/>
  <c r="E55" i="1"/>
  <c r="D55" i="1"/>
  <c r="C55" i="1"/>
  <c r="B55" i="1"/>
  <c r="F54" i="1"/>
  <c r="E54" i="1"/>
  <c r="B54" i="1"/>
  <c r="F52" i="1"/>
  <c r="E52" i="1"/>
  <c r="D52" i="1"/>
  <c r="C52" i="1"/>
  <c r="B52" i="1"/>
  <c r="F51" i="1"/>
  <c r="E51" i="1"/>
  <c r="D51" i="1"/>
  <c r="C51" i="1"/>
  <c r="B51" i="1"/>
  <c r="F50" i="1"/>
  <c r="E50" i="1"/>
  <c r="D50" i="1"/>
  <c r="C50" i="1"/>
  <c r="B50" i="1"/>
  <c r="F49" i="1"/>
  <c r="E49" i="1"/>
  <c r="D49" i="1"/>
  <c r="C49" i="1"/>
  <c r="B49" i="1"/>
  <c r="F48" i="1"/>
  <c r="E48" i="1"/>
  <c r="D48" i="1"/>
  <c r="C48" i="1"/>
  <c r="B48" i="1"/>
  <c r="F47" i="1"/>
  <c r="E47" i="1"/>
  <c r="D47" i="1"/>
  <c r="C47" i="1"/>
  <c r="B47" i="1"/>
  <c r="F46" i="1"/>
  <c r="E46" i="1"/>
  <c r="D46" i="1"/>
  <c r="C46" i="1"/>
  <c r="B46" i="1"/>
  <c r="F45" i="1"/>
  <c r="E45" i="1"/>
  <c r="D45" i="1"/>
  <c r="C45" i="1"/>
  <c r="B45" i="1"/>
  <c r="F44" i="1"/>
  <c r="E44" i="1"/>
  <c r="D44" i="1"/>
  <c r="C44" i="1"/>
  <c r="B44" i="1"/>
  <c r="F32" i="1"/>
  <c r="E32" i="1"/>
  <c r="D32" i="1"/>
  <c r="C32" i="1"/>
  <c r="B32" i="1"/>
  <c r="F31" i="1"/>
  <c r="E31" i="1"/>
  <c r="D31" i="1"/>
  <c r="C31" i="1"/>
  <c r="B31" i="1"/>
  <c r="F30" i="1"/>
  <c r="E30" i="1"/>
  <c r="D30" i="1"/>
  <c r="C30" i="1"/>
  <c r="B30" i="1"/>
  <c r="F29" i="1"/>
  <c r="E29" i="1"/>
  <c r="D29" i="1"/>
  <c r="C29" i="1"/>
  <c r="B29" i="1"/>
  <c r="F28" i="1"/>
  <c r="E28" i="1"/>
  <c r="D28" i="1"/>
  <c r="C28" i="1"/>
  <c r="B28" i="1"/>
  <c r="F27" i="1"/>
  <c r="E27" i="1"/>
  <c r="D27" i="1"/>
  <c r="C27" i="1"/>
  <c r="B27" i="1"/>
  <c r="F26" i="1"/>
  <c r="E26" i="1"/>
  <c r="D26" i="1"/>
  <c r="C26" i="1"/>
  <c r="B26" i="1"/>
  <c r="F25" i="1"/>
  <c r="E25" i="1"/>
  <c r="D25" i="1"/>
  <c r="C25" i="1"/>
  <c r="B25" i="1"/>
  <c r="F24" i="1"/>
  <c r="E24" i="1"/>
  <c r="D24" i="1"/>
  <c r="C24" i="1"/>
  <c r="B24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F8" i="1"/>
  <c r="E8" i="1"/>
  <c r="D8" i="1"/>
  <c r="C8" i="1"/>
  <c r="B8" i="1"/>
  <c r="F7" i="1"/>
  <c r="E7" i="1"/>
  <c r="D7" i="1"/>
  <c r="C7" i="1"/>
  <c r="B7" i="1"/>
  <c r="F6" i="1"/>
  <c r="E6" i="1"/>
  <c r="D6" i="1"/>
  <c r="C6" i="1"/>
  <c r="B6" i="1"/>
  <c r="G29" i="1" l="1"/>
  <c r="G26" i="4"/>
  <c r="G25" i="4"/>
  <c r="G24" i="4"/>
  <c r="G23" i="4"/>
  <c r="F23" i="4"/>
  <c r="E23" i="4"/>
  <c r="D23" i="4"/>
  <c r="C23" i="4"/>
  <c r="C16" i="4" s="1"/>
  <c r="B23" i="4"/>
  <c r="G22" i="4"/>
  <c r="G21" i="4"/>
  <c r="G20" i="4"/>
  <c r="F19" i="4"/>
  <c r="E19" i="4"/>
  <c r="D19" i="4"/>
  <c r="G19" i="4" s="1"/>
  <c r="C19" i="4"/>
  <c r="B19" i="4"/>
  <c r="G18" i="4"/>
  <c r="G17" i="4"/>
  <c r="G16" i="4" s="1"/>
  <c r="F16" i="4"/>
  <c r="E16" i="4"/>
  <c r="D16" i="4"/>
  <c r="B16" i="4"/>
  <c r="G14" i="4"/>
  <c r="G13" i="4"/>
  <c r="G12" i="4"/>
  <c r="F11" i="4"/>
  <c r="E11" i="4"/>
  <c r="D11" i="4"/>
  <c r="C11" i="4"/>
  <c r="B11" i="4"/>
  <c r="G10" i="4"/>
  <c r="G9" i="4"/>
  <c r="G8" i="4"/>
  <c r="G7" i="4"/>
  <c r="F7" i="4"/>
  <c r="E7" i="4"/>
  <c r="D7" i="4"/>
  <c r="C7" i="4"/>
  <c r="B7" i="4"/>
  <c r="G6" i="4"/>
  <c r="G77" i="3"/>
  <c r="G76" i="3"/>
  <c r="G75" i="3"/>
  <c r="G74" i="3"/>
  <c r="G73" i="3"/>
  <c r="F73" i="3"/>
  <c r="E73" i="3"/>
  <c r="D73" i="3"/>
  <c r="C73" i="3"/>
  <c r="B73" i="3"/>
  <c r="G71" i="3"/>
  <c r="G70" i="3"/>
  <c r="G69" i="3"/>
  <c r="G68" i="3"/>
  <c r="G67" i="3"/>
  <c r="G66" i="3"/>
  <c r="G65" i="3"/>
  <c r="G64" i="3"/>
  <c r="G63" i="3"/>
  <c r="F62" i="3"/>
  <c r="E62" i="3"/>
  <c r="D62" i="3"/>
  <c r="G62" i="3" s="1"/>
  <c r="C62" i="3"/>
  <c r="B62" i="3"/>
  <c r="G60" i="3"/>
  <c r="G59" i="3"/>
  <c r="G58" i="3"/>
  <c r="G57" i="3"/>
  <c r="G56" i="3"/>
  <c r="G55" i="3"/>
  <c r="G54" i="3"/>
  <c r="G53" i="3"/>
  <c r="F53" i="3"/>
  <c r="E53" i="3"/>
  <c r="D53" i="3"/>
  <c r="C53" i="3"/>
  <c r="B53" i="3"/>
  <c r="G51" i="3"/>
  <c r="G50" i="3"/>
  <c r="G49" i="3"/>
  <c r="G48" i="3"/>
  <c r="G47" i="3"/>
  <c r="G46" i="3"/>
  <c r="G45" i="3"/>
  <c r="G44" i="3"/>
  <c r="F43" i="3"/>
  <c r="E43" i="3"/>
  <c r="E42" i="3" s="1"/>
  <c r="D43" i="3"/>
  <c r="G43" i="3" s="1"/>
  <c r="C43" i="3"/>
  <c r="B43" i="3"/>
  <c r="F42" i="3"/>
  <c r="C42" i="3"/>
  <c r="B42" i="3"/>
  <c r="G40" i="3"/>
  <c r="G39" i="3"/>
  <c r="G38" i="3"/>
  <c r="G37" i="3"/>
  <c r="F36" i="3"/>
  <c r="E36" i="3"/>
  <c r="D36" i="3"/>
  <c r="G36" i="3" s="1"/>
  <c r="C36" i="3"/>
  <c r="B36" i="3"/>
  <c r="G34" i="3"/>
  <c r="G33" i="3"/>
  <c r="G32" i="3"/>
  <c r="G31" i="3"/>
  <c r="G30" i="3"/>
  <c r="G29" i="3"/>
  <c r="G28" i="3"/>
  <c r="G27" i="3"/>
  <c r="G26" i="3"/>
  <c r="G25" i="3"/>
  <c r="F25" i="3"/>
  <c r="E25" i="3"/>
  <c r="D25" i="3"/>
  <c r="C25" i="3"/>
  <c r="B25" i="3"/>
  <c r="G23" i="3"/>
  <c r="G22" i="3"/>
  <c r="G21" i="3"/>
  <c r="G20" i="3"/>
  <c r="G19" i="3"/>
  <c r="G17" i="3"/>
  <c r="G14" i="3"/>
  <c r="G13" i="3"/>
  <c r="G12" i="3"/>
  <c r="G11" i="3"/>
  <c r="G10" i="3"/>
  <c r="G9" i="3"/>
  <c r="G6" i="3" s="1"/>
  <c r="G8" i="3"/>
  <c r="G7" i="3"/>
  <c r="F6" i="3"/>
  <c r="E6" i="3"/>
  <c r="D6" i="3"/>
  <c r="C6" i="3"/>
  <c r="B6" i="3"/>
  <c r="G25" i="2"/>
  <c r="G24" i="2"/>
  <c r="G23" i="2"/>
  <c r="G22" i="2"/>
  <c r="G21" i="2"/>
  <c r="G20" i="2"/>
  <c r="G19" i="2"/>
  <c r="G18" i="2"/>
  <c r="G17" i="2" s="1"/>
  <c r="F17" i="2"/>
  <c r="E17" i="2"/>
  <c r="D17" i="2"/>
  <c r="C17" i="2"/>
  <c r="B17" i="2"/>
  <c r="G13" i="2"/>
  <c r="G12" i="2"/>
  <c r="G11" i="2"/>
  <c r="G10" i="2"/>
  <c r="G9" i="2"/>
  <c r="G8" i="2"/>
  <c r="G7" i="2"/>
  <c r="G6" i="2"/>
  <c r="F27" i="2"/>
  <c r="E27" i="2"/>
  <c r="D27" i="2"/>
  <c r="C27" i="2"/>
  <c r="B27" i="2"/>
  <c r="G152" i="1"/>
  <c r="G151" i="1"/>
  <c r="G150" i="1"/>
  <c r="G149" i="1"/>
  <c r="G148" i="1"/>
  <c r="G147" i="1"/>
  <c r="G146" i="1"/>
  <c r="F145" i="1"/>
  <c r="E145" i="1"/>
  <c r="D145" i="1"/>
  <c r="C145" i="1"/>
  <c r="B145" i="1"/>
  <c r="G144" i="1"/>
  <c r="G143" i="1"/>
  <c r="G142" i="1"/>
  <c r="F141" i="1"/>
  <c r="E141" i="1"/>
  <c r="D141" i="1"/>
  <c r="G141" i="1" s="1"/>
  <c r="C141" i="1"/>
  <c r="B141" i="1"/>
  <c r="G140" i="1"/>
  <c r="G139" i="1"/>
  <c r="G138" i="1"/>
  <c r="G137" i="1"/>
  <c r="G136" i="1"/>
  <c r="G135" i="1"/>
  <c r="G134" i="1"/>
  <c r="G133" i="1"/>
  <c r="F132" i="1"/>
  <c r="E132" i="1"/>
  <c r="D132" i="1"/>
  <c r="C132" i="1"/>
  <c r="B132" i="1"/>
  <c r="G131" i="1"/>
  <c r="G130" i="1"/>
  <c r="G129" i="1"/>
  <c r="F128" i="1"/>
  <c r="E128" i="1"/>
  <c r="D128" i="1"/>
  <c r="C128" i="1"/>
  <c r="B128" i="1"/>
  <c r="G127" i="1"/>
  <c r="G126" i="1"/>
  <c r="G125" i="1"/>
  <c r="G124" i="1"/>
  <c r="G123" i="1"/>
  <c r="G122" i="1"/>
  <c r="G121" i="1"/>
  <c r="G120" i="1"/>
  <c r="G119" i="1"/>
  <c r="F118" i="1"/>
  <c r="E118" i="1"/>
  <c r="D118" i="1"/>
  <c r="G118" i="1" s="1"/>
  <c r="C118" i="1"/>
  <c r="B118" i="1"/>
  <c r="G117" i="1"/>
  <c r="G116" i="1"/>
  <c r="G115" i="1"/>
  <c r="G114" i="1"/>
  <c r="G113" i="1"/>
  <c r="G112" i="1"/>
  <c r="G111" i="1"/>
  <c r="G110" i="1"/>
  <c r="G109" i="1"/>
  <c r="F108" i="1"/>
  <c r="E108" i="1"/>
  <c r="D108" i="1"/>
  <c r="G108" i="1" s="1"/>
  <c r="C108" i="1"/>
  <c r="B108" i="1"/>
  <c r="G107" i="1"/>
  <c r="G106" i="1"/>
  <c r="G105" i="1"/>
  <c r="G104" i="1"/>
  <c r="G103" i="1"/>
  <c r="G102" i="1"/>
  <c r="G101" i="1"/>
  <c r="G100" i="1"/>
  <c r="G99" i="1"/>
  <c r="G98" i="1"/>
  <c r="F98" i="1"/>
  <c r="E98" i="1"/>
  <c r="D98" i="1"/>
  <c r="C98" i="1"/>
  <c r="B98" i="1"/>
  <c r="G97" i="1"/>
  <c r="G96" i="1"/>
  <c r="G95" i="1"/>
  <c r="G94" i="1"/>
  <c r="G93" i="1"/>
  <c r="G92" i="1"/>
  <c r="G91" i="1"/>
  <c r="G90" i="1"/>
  <c r="G89" i="1"/>
  <c r="F88" i="1"/>
  <c r="E88" i="1"/>
  <c r="D88" i="1"/>
  <c r="C88" i="1"/>
  <c r="B88" i="1"/>
  <c r="G87" i="1"/>
  <c r="G86" i="1"/>
  <c r="G85" i="1"/>
  <c r="G84" i="1"/>
  <c r="G83" i="1"/>
  <c r="G82" i="1"/>
  <c r="G81" i="1"/>
  <c r="F80" i="1"/>
  <c r="E80" i="1"/>
  <c r="D80" i="1"/>
  <c r="C80" i="1"/>
  <c r="B80" i="1"/>
  <c r="G77" i="1"/>
  <c r="G76" i="1"/>
  <c r="G75" i="1"/>
  <c r="G74" i="1"/>
  <c r="G73" i="1"/>
  <c r="G72" i="1"/>
  <c r="G71" i="1"/>
  <c r="F70" i="1"/>
  <c r="E70" i="1"/>
  <c r="D70" i="1"/>
  <c r="C70" i="1"/>
  <c r="B70" i="1"/>
  <c r="G69" i="1"/>
  <c r="G68" i="1"/>
  <c r="G67" i="1"/>
  <c r="F66" i="1"/>
  <c r="E66" i="1"/>
  <c r="D66" i="1"/>
  <c r="C66" i="1"/>
  <c r="B66" i="1"/>
  <c r="G65" i="1"/>
  <c r="G64" i="1"/>
  <c r="G63" i="1"/>
  <c r="G62" i="1"/>
  <c r="G61" i="1"/>
  <c r="G60" i="1"/>
  <c r="G59" i="1"/>
  <c r="G58" i="1"/>
  <c r="F57" i="1"/>
  <c r="E57" i="1"/>
  <c r="D57" i="1"/>
  <c r="C57" i="1"/>
  <c r="B57" i="1"/>
  <c r="G56" i="1"/>
  <c r="G55" i="1"/>
  <c r="G54" i="1"/>
  <c r="F53" i="1"/>
  <c r="E53" i="1"/>
  <c r="D53" i="1"/>
  <c r="C53" i="1"/>
  <c r="B53" i="1"/>
  <c r="G52" i="1"/>
  <c r="G51" i="1"/>
  <c r="G50" i="1"/>
  <c r="G49" i="1"/>
  <c r="G48" i="1"/>
  <c r="G47" i="1"/>
  <c r="G46" i="1"/>
  <c r="G45" i="1"/>
  <c r="G44" i="1"/>
  <c r="F43" i="1"/>
  <c r="E43" i="1"/>
  <c r="D43" i="1"/>
  <c r="C43" i="1"/>
  <c r="B43" i="1"/>
  <c r="G42" i="1"/>
  <c r="G41" i="1"/>
  <c r="G40" i="1"/>
  <c r="G39" i="1"/>
  <c r="G38" i="1"/>
  <c r="G37" i="1"/>
  <c r="G36" i="1"/>
  <c r="G35" i="1"/>
  <c r="G34" i="1"/>
  <c r="F33" i="1"/>
  <c r="E33" i="1"/>
  <c r="G33" i="1" s="1"/>
  <c r="D33" i="1"/>
  <c r="C33" i="1"/>
  <c r="B33" i="1"/>
  <c r="G32" i="1"/>
  <c r="G31" i="1"/>
  <c r="G30" i="1"/>
  <c r="G28" i="1"/>
  <c r="G27" i="1"/>
  <c r="G26" i="1"/>
  <c r="G25" i="1"/>
  <c r="G24" i="1"/>
  <c r="F23" i="1"/>
  <c r="E23" i="1"/>
  <c r="D23" i="1"/>
  <c r="C23" i="1"/>
  <c r="B23" i="1"/>
  <c r="G22" i="1"/>
  <c r="G21" i="1"/>
  <c r="G20" i="1"/>
  <c r="G19" i="1"/>
  <c r="G18" i="1"/>
  <c r="G17" i="1"/>
  <c r="G16" i="1"/>
  <c r="G15" i="1"/>
  <c r="G14" i="1"/>
  <c r="F13" i="1"/>
  <c r="E13" i="1"/>
  <c r="D13" i="1"/>
  <c r="C13" i="1"/>
  <c r="B13" i="1"/>
  <c r="G12" i="1"/>
  <c r="G11" i="1"/>
  <c r="G10" i="1"/>
  <c r="G9" i="1"/>
  <c r="G8" i="1"/>
  <c r="G7" i="1"/>
  <c r="G6" i="1"/>
  <c r="F5" i="1"/>
  <c r="F5" i="4" s="1"/>
  <c r="F4" i="4" s="1"/>
  <c r="F27" i="4" s="1"/>
  <c r="E5" i="1"/>
  <c r="E5" i="4" s="1"/>
  <c r="D5" i="1"/>
  <c r="D5" i="4" s="1"/>
  <c r="C5" i="1"/>
  <c r="C5" i="4" s="1"/>
  <c r="C4" i="4" s="1"/>
  <c r="B5" i="1"/>
  <c r="B5" i="4" s="1"/>
  <c r="B4" i="4" s="1"/>
  <c r="B27" i="4" s="1"/>
  <c r="G5" i="4" l="1"/>
  <c r="D4" i="4"/>
  <c r="D27" i="4" s="1"/>
  <c r="E4" i="4"/>
  <c r="E27" i="4" s="1"/>
  <c r="G5" i="2"/>
  <c r="G27" i="2" s="1"/>
  <c r="G57" i="1"/>
  <c r="G53" i="1"/>
  <c r="G23" i="1"/>
  <c r="G13" i="1"/>
  <c r="G66" i="1"/>
  <c r="G5" i="1"/>
  <c r="G70" i="1"/>
  <c r="G145" i="1"/>
  <c r="D79" i="1"/>
  <c r="G132" i="1"/>
  <c r="G79" i="1" s="1"/>
  <c r="G128" i="1"/>
  <c r="F79" i="1"/>
  <c r="C79" i="1"/>
  <c r="G88" i="1"/>
  <c r="B79" i="1"/>
  <c r="E79" i="1"/>
  <c r="G80" i="1"/>
  <c r="C4" i="1"/>
  <c r="C18" i="3" s="1"/>
  <c r="C16" i="3" s="1"/>
  <c r="C5" i="3" s="1"/>
  <c r="C79" i="3" s="1"/>
  <c r="F4" i="1"/>
  <c r="F18" i="3" s="1"/>
  <c r="F16" i="3" s="1"/>
  <c r="F5" i="3" s="1"/>
  <c r="F79" i="3" s="1"/>
  <c r="G43" i="1"/>
  <c r="B4" i="1"/>
  <c r="B18" i="3" s="1"/>
  <c r="B16" i="3" s="1"/>
  <c r="B5" i="3" s="1"/>
  <c r="B79" i="3" s="1"/>
  <c r="D4" i="1"/>
  <c r="D18" i="3" s="1"/>
  <c r="E4" i="1"/>
  <c r="E18" i="3" s="1"/>
  <c r="E16" i="3" s="1"/>
  <c r="E5" i="3" s="1"/>
  <c r="E79" i="3" s="1"/>
  <c r="C27" i="4"/>
  <c r="D42" i="3"/>
  <c r="G42" i="3" s="1"/>
  <c r="G11" i="4"/>
  <c r="G4" i="4" l="1"/>
  <c r="G27" i="4" s="1"/>
  <c r="G18" i="3"/>
  <c r="D16" i="3"/>
  <c r="G4" i="1"/>
  <c r="G154" i="1" s="1"/>
  <c r="D154" i="1"/>
  <c r="F154" i="1"/>
  <c r="C154" i="1"/>
  <c r="B154" i="1"/>
  <c r="E154" i="1"/>
  <c r="G16" i="3" l="1"/>
  <c r="G5" i="3" s="1"/>
  <c r="G79" i="3" s="1"/>
  <c r="D5" i="3"/>
  <c r="D79" i="3" s="1"/>
</calcChain>
</file>

<file path=xl/sharedStrings.xml><?xml version="1.0" encoding="utf-8"?>
<sst xmlns="http://schemas.openxmlformats.org/spreadsheetml/2006/main" count="301" uniqueCount="158">
  <si>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</si>
  <si>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</si>
  <si>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</si>
  <si>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</si>
  <si>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</si>
  <si>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</si>
  <si>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</si>
  <si>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</si>
  <si>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</si>
  <si>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</si>
  <si>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</si>
  <si>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</si>
  <si>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</si>
  <si>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</si>
  <si>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</si>
  <si>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</si>
  <si>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</si>
  <si>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</si>
  <si>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</si>
  <si>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</si>
  <si>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</si>
  <si>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</si>
  <si>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</si>
  <si>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</si>
  <si>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</si>
  <si>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</si>
  <si>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</si>
  <si>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</si>
  <si>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</si>
  <si>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</si>
  <si>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</si>
  <si>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</si>
  <si>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</si>
  <si>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</si>
  <si>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</si>
  <si>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</si>
  <si>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</si>
  <si>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</si>
  <si>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</si>
  <si>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</si>
  <si>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</si>
  <si>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</si>
  <si>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</si>
  <si>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</si>
  <si>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</si>
  <si>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</si>
  <si>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</si>
  <si>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</si>
  <si>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</si>
  <si>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</si>
  <si>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</si>
  <si>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</si>
  <si>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</si>
  <si>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</si>
  <si>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</si>
  <si>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</si>
  <si>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</si>
  <si>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</si>
  <si>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</si>
  <si>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</si>
  <si>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</si>
  <si>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</si>
  <si>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</si>
  <si>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</si>
  <si>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</si>
  <si>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</si>
  <si>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</si>
  <si>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</si>
  <si>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</si>
  <si>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</si>
  <si>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</si>
  <si>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</si>
  <si>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</si>
  <si>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</si>
  <si>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</si>
  <si>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</si>
  <si>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</si>
  <si>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</si>
  <si>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</si>
  <si>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</si>
  <si>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</si>
  <si>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</si>
  <si>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</si>
  <si>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</si>
  <si>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</si>
  <si>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</si>
  <si>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</si>
  <si>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</si>
  <si>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</si>
  <si>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</si>
  <si>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</si>
  <si>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</si>
  <si>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</si>
  <si>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</si>
  <si>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</si>
  <si>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</si>
  <si>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</si>
  <si>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</si>
  <si>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</si>
  <si>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</si>
  <si>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</si>
  <si>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</si>
  <si>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</si>
  <si>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</si>
  <si>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</si>
  <si>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</si>
  <si>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</si>
  <si>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</si>
  <si>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</si>
  <si>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</si>
  <si>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</si>
  <si>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</si>
  <si>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</si>
  <si>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</si>
  <si>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</si>
  <si>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</si>
  <si>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</si>
  <si>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</si>
  <si>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</si>
  <si>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</si>
  <si>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</si>
  <si>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</si>
  <si>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</si>
  <si>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</si>
  <si>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</si>
  <si>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</si>
  <si>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</si>
  <si>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</si>
  <si>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</si>
  <si>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</si>
  <si>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</si>
  <si>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</si>
  <si>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</si>
  <si>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</si>
  <si>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</si>
  <si>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</si>
  <si>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</si>
  <si>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</si>
  <si>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</si>
  <si>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</si>
  <si>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</si>
  <si>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</si>
  <si>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</si>
  <si>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</si>
  <si>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</si>
  <si>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</si>
  <si>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</si>
  <si>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</si>
  <si>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H. Dependencia o Unidad Administrativa 8</t>
  </si>
  <si>
    <t>I. Dependencia o Unidad Administrativa 9</t>
  </si>
  <si>
    <t>(I=A+B+C+D+E+F+G+H+I)</t>
  </si>
  <si>
    <t>ELABORO</t>
  </si>
  <si>
    <t>C.P. María de la Luz Caracheo A.</t>
  </si>
  <si>
    <t>Jefe de depto. Contabilidad</t>
  </si>
  <si>
    <t>JUNTA MUNICIPAL DE AGUA POTABLE Y ALCANTARILLADO DE CORTAZAR, GTO.Estado Analítico del Ejercicio del Presupuesto de Egresos Detallado - LDF
Clasificación por Objeto del Gasto (Capítulo y Concepto)
Del 1 de enero al 31 de Marzo de 2017 (b)
(PESOS)</t>
  </si>
  <si>
    <t>JUNTA MUNICIPAL DE AGUA POTABLE Y ALCANTARILLADO DE CORTAZAR, GTO.
Estado Analítico del Ejercicio del Presupuesto de Egresos Detallado - LDF
Clasificación Administrativa
DDel 1 de enero al 31 de Marzo de 2017 (b)
(PESOS)</t>
  </si>
  <si>
    <t>JUNTA MUNICIPAL DE AGUA POTABLE Y ALCANTARILLADO DE CORTAZAR, GTO.
Estado Analítico del Ejercicio del Presupuesto de Egresos Detallado - LDF
Clasificación Funcional (Finalidad y Función)
Del 1 de enero al 31 de Marzo de 2017 (b)
(PESOS)</t>
  </si>
  <si>
    <t>JUNTA MUNICIPAL DE AGUA POTABLE Y ALCANTARILLADO DE CORTAZAR, GTO.
Estado Analítico del Ejercicio del Presupuesto de Egresos Detallado - LDF
Clasificación de Servicios Personales por Categoría
Del 1 de enero al 31 de Marzo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</si>
</sst>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6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8"/>
      <name val="Calibri"/>
      <family val="2"/>
    </font>
    <font>
      <b/>
      <sz val="8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3" fontId="9" fillId="0" borderId="0" applyFont="0" applyFill="0" applyBorder="0" applyAlignment="0" applyProtection="0"/>
    <xf numFmtId="0" fontId="13" fillId="0" borderId="0"/>
  </cellStyleXfs>
  <cellXfs count="7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indent="1"/>
    </xf>
    <xf numFmtId="4" fontId="3" fillId="0" borderId="4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4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2"/>
    </xf>
    <xf numFmtId="4" fontId="4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 indent="1"/>
    </xf>
    <xf numFmtId="4" fontId="5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2"/>
    </xf>
    <xf numFmtId="4" fontId="6" fillId="0" borderId="7" xfId="0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justify" vertical="center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164" fontId="10" fillId="0" borderId="7" xfId="2" applyNumberFormat="1" applyFont="1" applyBorder="1" applyAlignment="1">
      <alignment horizontal="right" vertical="center"/>
    </xf>
    <xf numFmtId="164" fontId="10" fillId="0" borderId="7" xfId="2" applyNumberFormat="1" applyFont="1" applyFill="1" applyBorder="1" applyAlignment="1">
      <alignment horizontal="right" vertical="center"/>
    </xf>
    <xf numFmtId="164" fontId="10" fillId="0" borderId="6" xfId="2" applyNumberFormat="1" applyFont="1" applyBorder="1" applyAlignment="1">
      <alignment horizontal="right" vertical="center"/>
    </xf>
    <xf numFmtId="164" fontId="11" fillId="0" borderId="0" xfId="2" applyNumberFormat="1" applyFont="1" applyFill="1" applyBorder="1" applyAlignment="1">
      <alignment horizontal="right" vertical="center"/>
    </xf>
    <xf numFmtId="4" fontId="12" fillId="0" borderId="8" xfId="2" applyNumberFormat="1" applyFont="1" applyBorder="1" applyAlignment="1" applyProtection="1">
      <alignment vertical="top"/>
      <protection locked="0"/>
    </xf>
    <xf numFmtId="4" fontId="12" fillId="0" borderId="9" xfId="2" applyNumberFormat="1" applyFont="1" applyBorder="1" applyAlignment="1" applyProtection="1">
      <alignment vertical="top"/>
      <protection locked="0"/>
    </xf>
    <xf numFmtId="4" fontId="6" fillId="0" borderId="0" xfId="0" applyNumberFormat="1" applyFont="1" applyAlignment="1"/>
    <xf numFmtId="0" fontId="6" fillId="0" borderId="0" xfId="0" applyFont="1" applyAlignment="1"/>
    <xf numFmtId="0" fontId="14" fillId="0" borderId="0" xfId="3" applyFont="1" applyBorder="1" applyAlignment="1" applyProtection="1">
      <alignment vertical="top"/>
      <protection locked="0"/>
    </xf>
    <xf numFmtId="0" fontId="14" fillId="0" borderId="0" xfId="3" applyFont="1" applyBorder="1" applyAlignment="1" applyProtection="1">
      <alignment vertical="top" wrapText="1"/>
      <protection locked="0"/>
    </xf>
    <xf numFmtId="4" fontId="15" fillId="0" borderId="0" xfId="3" applyNumberFormat="1" applyFont="1" applyBorder="1" applyAlignment="1" applyProtection="1">
      <alignment horizontal="center" vertical="top"/>
      <protection locked="0"/>
    </xf>
    <xf numFmtId="0" fontId="14" fillId="0" borderId="0" xfId="3" applyFont="1" applyAlignment="1" applyProtection="1">
      <alignment vertical="top"/>
      <protection locked="0"/>
    </xf>
    <xf numFmtId="4" fontId="14" fillId="0" borderId="0" xfId="3" applyNumberFormat="1" applyFont="1" applyBorder="1" applyAlignment="1" applyProtection="1">
      <alignment vertical="top"/>
      <protection locked="0"/>
    </xf>
    <xf numFmtId="4" fontId="14" fillId="0" borderId="10" xfId="3" applyNumberFormat="1" applyFont="1" applyBorder="1" applyAlignment="1" applyProtection="1">
      <alignment vertical="top"/>
      <protection locked="0"/>
    </xf>
    <xf numFmtId="0" fontId="14" fillId="0" borderId="10" xfId="3" applyFont="1" applyBorder="1" applyAlignment="1" applyProtection="1">
      <alignment vertical="top"/>
      <protection locked="0"/>
    </xf>
    <xf numFmtId="4" fontId="15" fillId="0" borderId="0" xfId="3" applyNumberFormat="1" applyFont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4">
    <cellStyle name="Millares" xfId="2" builtinId="3"/>
    <cellStyle name="Normal" xfId="0" builtinId="0"/>
    <cellStyle name="Normal 2" xfId="1"/>
    <cellStyle name="Normal 2 2" xfId="3"/>
  </cellStyles>
  <dxfs count="21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163</xdr:row>
      <xdr:rowOff>57150</xdr:rowOff>
    </xdr:from>
    <xdr:to>
      <xdr:col>0</xdr:col>
      <xdr:colOff>3019425</xdr:colOff>
      <xdr:row>166</xdr:row>
      <xdr:rowOff>66675</xdr:rowOff>
    </xdr:to>
    <xdr:sp macro="" textlink="">
      <xdr:nvSpPr>
        <xdr:cNvPr id="2" name="9 CuadroTexto"/>
        <xdr:cNvSpPr txBox="1">
          <a:spLocks noChangeArrowheads="1"/>
        </xdr:cNvSpPr>
      </xdr:nvSpPr>
      <xdr:spPr bwMode="auto">
        <a:xfrm>
          <a:off x="476250" y="11553825"/>
          <a:ext cx="2543175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Profr. Javier Quintana Amolitos</a:t>
          </a: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 del Consejo Directivo JUMAPAC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504825</xdr:colOff>
      <xdr:row>163</xdr:row>
      <xdr:rowOff>0</xdr:rowOff>
    </xdr:from>
    <xdr:to>
      <xdr:col>0</xdr:col>
      <xdr:colOff>2562225</xdr:colOff>
      <xdr:row>163</xdr:row>
      <xdr:rowOff>1</xdr:rowOff>
    </xdr:to>
    <xdr:cxnSp macro="">
      <xdr:nvCxnSpPr>
        <xdr:cNvPr id="3" name="4 Conector recto"/>
        <xdr:cNvCxnSpPr/>
      </xdr:nvCxnSpPr>
      <xdr:spPr>
        <a:xfrm flipV="1">
          <a:off x="504825" y="11496675"/>
          <a:ext cx="2057400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1171575</xdr:colOff>
      <xdr:row>159</xdr:row>
      <xdr:rowOff>85725</xdr:rowOff>
    </xdr:from>
    <xdr:to>
      <xdr:col>0</xdr:col>
      <xdr:colOff>1847850</xdr:colOff>
      <xdr:row>161</xdr:row>
      <xdr:rowOff>47625</xdr:rowOff>
    </xdr:to>
    <xdr:sp macro="" textlink="">
      <xdr:nvSpPr>
        <xdr:cNvPr id="4" name="6 CuadroTexto"/>
        <xdr:cNvSpPr txBox="1">
          <a:spLocks noChangeArrowheads="1"/>
        </xdr:cNvSpPr>
      </xdr:nvSpPr>
      <xdr:spPr bwMode="auto">
        <a:xfrm>
          <a:off x="1171575" y="11010900"/>
          <a:ext cx="67627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</a:t>
          </a:r>
        </a:p>
      </xdr:txBody>
    </xdr:sp>
    <xdr:clientData/>
  </xdr:twoCellAnchor>
  <xdr:twoCellAnchor>
    <xdr:from>
      <xdr:col>0</xdr:col>
      <xdr:colOff>3305175</xdr:colOff>
      <xdr:row>163</xdr:row>
      <xdr:rowOff>19050</xdr:rowOff>
    </xdr:from>
    <xdr:to>
      <xdr:col>1</xdr:col>
      <xdr:colOff>152400</xdr:colOff>
      <xdr:row>166</xdr:row>
      <xdr:rowOff>38100</xdr:rowOff>
    </xdr:to>
    <xdr:sp macro="" textlink="">
      <xdr:nvSpPr>
        <xdr:cNvPr id="5" name="9 CuadroTexto"/>
        <xdr:cNvSpPr txBox="1">
          <a:spLocks noChangeArrowheads="1"/>
        </xdr:cNvSpPr>
      </xdr:nvSpPr>
      <xdr:spPr bwMode="auto">
        <a:xfrm>
          <a:off x="3305175" y="11515725"/>
          <a:ext cx="2038350" cy="447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Ing. Alvaro Monroy Corona</a:t>
          </a: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del Consejo Directivo JUMAPAC</a:t>
          </a:r>
        </a:p>
      </xdr:txBody>
    </xdr:sp>
    <xdr:clientData/>
  </xdr:twoCellAnchor>
  <xdr:twoCellAnchor>
    <xdr:from>
      <xdr:col>0</xdr:col>
      <xdr:colOff>3295650</xdr:colOff>
      <xdr:row>162</xdr:row>
      <xdr:rowOff>76200</xdr:rowOff>
    </xdr:from>
    <xdr:to>
      <xdr:col>0</xdr:col>
      <xdr:colOff>5038725</xdr:colOff>
      <xdr:row>162</xdr:row>
      <xdr:rowOff>76200</xdr:rowOff>
    </xdr:to>
    <xdr:cxnSp macro="">
      <xdr:nvCxnSpPr>
        <xdr:cNvPr id="6" name="4 Conector recto"/>
        <xdr:cNvCxnSpPr/>
      </xdr:nvCxnSpPr>
      <xdr:spPr>
        <a:xfrm>
          <a:off x="3295650" y="11430000"/>
          <a:ext cx="174307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3581400</xdr:colOff>
      <xdr:row>158</xdr:row>
      <xdr:rowOff>95250</xdr:rowOff>
    </xdr:from>
    <xdr:to>
      <xdr:col>0</xdr:col>
      <xdr:colOff>4381500</xdr:colOff>
      <xdr:row>160</xdr:row>
      <xdr:rowOff>57150</xdr:rowOff>
    </xdr:to>
    <xdr:sp macro="" textlink="">
      <xdr:nvSpPr>
        <xdr:cNvPr id="7" name="6 CuadroTexto"/>
        <xdr:cNvSpPr txBox="1">
          <a:spLocks noChangeArrowheads="1"/>
        </xdr:cNvSpPr>
      </xdr:nvSpPr>
      <xdr:spPr bwMode="auto">
        <a:xfrm>
          <a:off x="3581400" y="10877550"/>
          <a:ext cx="800100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</a:t>
          </a:r>
        </a:p>
      </xdr:txBody>
    </xdr:sp>
    <xdr:clientData/>
  </xdr:twoCellAnchor>
</xdr:wsDr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COIWIN" ddeTopic="MATRIZ">
    <ddeItems>
      <ddeItem name="@CTA[8-2-1,F,1,#3]" advise="1">
        <values>
          <value>
            <val>20068827</val>
          </value>
        </values>
      </ddeItem>
      <ddeItem name="@CTA[8-2-1,F,2,#3]" advise="1">
        <values>
          <value>
            <val>3337968</val>
          </value>
        </values>
      </ddeItem>
      <ddeItem name="@CTA[8-2-1,F,3,#3]" advise="1">
        <values>
          <value>
            <val>2326852</val>
          </value>
        </values>
      </ddeItem>
      <ddeItem name="@CTA[8-2-1,F,4,#3]" advise="1">
        <values>
          <value>
            <val>1832177</val>
          </value>
        </values>
      </ddeItem>
      <ddeItem name="@CTA[8-2-1,F,5,#3]" advise="1">
        <values>
          <value>
            <val>3071541</val>
          </value>
        </values>
      </ddeItem>
      <ddeItem name="@CTA[8-2-1,F,6,#3]" advise="1">
        <values>
          <value>
            <val>1147631</val>
          </value>
        </values>
      </ddeItem>
      <ddeItem name="@CTA[8-2-1,F,7,#3]" advise="1">
        <values>
          <value>
            <val>4662045</val>
          </value>
        </values>
      </ddeItem>
      <ddeItem name="@CTA[8-2-1,F,8,#3]" advise="1">
        <values>
          <value>
            <val>1047753</val>
          </value>
        </values>
      </ddeItem>
      <ddeItem name="@CTA[8-2-1,F,9,#3]" advise="1">
        <values>
          <value>
            <val>14955558</val>
          </value>
        </values>
      </ddeItem>
      <ddeItem name="@CTA[8-2-1-1-1,F,#5]" advise="1">
        <values>
          <value>
            <val>9706928</val>
          </value>
        </values>
      </ddeItem>
      <ddeItem name="@CTA[8-2-1-1-2,F,#5]" advise="1">
        <values>
          <value>
            <val>760618</val>
          </value>
        </values>
      </ddeItem>
      <ddeItem name="@CTA[8-2-1-1-3,F,#5]" advise="1">
        <values>
          <value>
            <val>2004291</val>
          </value>
        </values>
      </ddeItem>
      <ddeItem name="@CTA[8-2-1-1-4,F,#5]" advise="1">
        <values>
          <value>
            <val>2469709</val>
          </value>
        </values>
      </ddeItem>
      <ddeItem name="@CTA[8-2-1-1-5,F,#5]" advise="1">
        <values>
          <value>
            <val>2642852</val>
          </value>
        </values>
      </ddeItem>
      <ddeItem name="@CTA[8-2-1-1-6,F,#5]" advise="1">
        <values>
          <value t="nil">
            <val>1</val>
          </value>
        </values>
      </ddeItem>
      <ddeItem name="@CTA[8-2-1-1-7,F,#5]" advise="1">
        <values>
          <value t="nil">
            <val>1</val>
          </value>
        </values>
      </ddeItem>
      <ddeItem name="@CTA[8-2-1-2-1,F,#5]" advise="1">
        <values>
          <value>
            <val>379285</val>
          </value>
        </values>
      </ddeItem>
      <ddeItem name="@CTA[8-2-1-2-2,F,#5]" advise="1">
        <values>
          <value>
            <val>60744</val>
          </value>
        </values>
      </ddeItem>
      <ddeItem name="@CTA[8-2-1-2-3,F,#5]" advise="1">
        <values>
          <value t="nil">
            <val>1</val>
          </value>
        </values>
      </ddeItem>
      <ddeItem name="@CTA[8-2-1-2-4,F,#5]" advise="1">
        <values>
          <value>
            <val>3266572</val>
          </value>
        </values>
      </ddeItem>
      <ddeItem name="@CTA[8-2-1-2-5,F,#5]" advise="1">
        <values>
          <value>
            <val>561905</val>
          </value>
        </values>
      </ddeItem>
      <ddeItem name="@CTA[8-2-1-2-6,F,#5]" advise="1">
        <values>
          <value>
            <val>747675</val>
          </value>
        </values>
      </ddeItem>
      <ddeItem name="@CTA[8-2-1-2-7,F,#5]" advise="1">
        <values>
          <value>
            <val>424669</val>
          </value>
        </values>
      </ddeItem>
      <ddeItem name="@CTA[8-2-1-2-8,F,#5]" advise="1">
        <values>
          <value t="nil">
            <val>1</val>
          </value>
        </values>
      </ddeItem>
      <ddeItem name="@CTA[8-2-1-2-9,F,#5]" advise="1">
        <values>
          <value>
            <val>135195</val>
          </value>
        </values>
      </ddeItem>
      <ddeItem name="@CTA[8-2-1-3-1,F,#5]" advise="1">
        <values>
          <value>
            <val>6840651</val>
          </value>
        </values>
      </ddeItem>
      <ddeItem name="@CTA[8-2-1-3-2,F,#5]" advise="1">
        <values>
          <value>
            <val>29200</val>
          </value>
        </values>
      </ddeItem>
      <ddeItem name="@CTA[8-2-1-3-3,F,#5]" advise="1">
        <values>
          <value>
            <val>3277512</val>
          </value>
        </values>
      </ddeItem>
      <ddeItem name="@CTA[8-2-1-3-4,F,#5]" advise="1">
        <values>
          <value>
            <val>549939</val>
          </value>
        </values>
      </ddeItem>
      <ddeItem name="@CTA[8-2-1-3-5,F,#5]" advise="1">
        <values>
          <value>
            <val>2142328</val>
          </value>
        </values>
      </ddeItem>
      <ddeItem name="@CTA[8-2-1-3-6,F,#5]" advise="1">
        <values>
          <value>
            <val>151000</val>
          </value>
        </values>
      </ddeItem>
      <ddeItem name="@CTA[8-2-1-3-7,F,#5]" advise="1">
        <values>
          <value>
            <val>39600</val>
          </value>
        </values>
      </ddeItem>
      <ddeItem name="@CTA[8-2-1-3-8,F,#5]" advise="1">
        <values>
          <value>
            <val>178000</val>
          </value>
        </values>
      </ddeItem>
      <ddeItem name="@CTA[8-2-1-3-9,F,#5]" advise="1">
        <values>
          <value>
            <val>2463702</val>
          </value>
        </values>
      </ddeItem>
      <ddeItem name="@CTA[8-2-1-5-1,F,#5]" advise="1">
        <values>
          <value>
            <val>479757</val>
          </value>
        </values>
      </ddeItem>
      <ddeItem name="@CTA[8-2-1-5-2,F,#5]" advise="1">
        <values>
          <value>
            <val>4400</val>
          </value>
        </values>
      </ddeItem>
      <ddeItem name="@CTA[8-2-1-5-3,F,#5]" advise="1">
        <values>
          <value>
            <val>0</val>
          </value>
        </values>
      </ddeItem>
      <ddeItem name="@CTA[8-2-1-5-4,F,#5]" advise="1">
        <values>
          <value>
            <val>23400</val>
          </value>
        </values>
      </ddeItem>
      <ddeItem name="@CTA[8-2-1-5-5,F,#5]" advise="1">
        <values>
          <value>
            <val>0</val>
          </value>
        </values>
      </ddeItem>
      <ddeItem name="@CTA[8-2-1-5-6,F,#5]" advise="1">
        <values>
          <value>
            <val>87891</val>
          </value>
        </values>
      </ddeItem>
      <ddeItem name="@CTA[8-2-1-5-7,F,#5]" advise="1">
        <values>
          <value t="nil">
            <val>1</val>
          </value>
        </values>
      </ddeItem>
      <ddeItem name="@CTA[8-2-1-5-8,F,#5]" advise="1">
        <values>
          <value>
            <val>0</val>
          </value>
        </values>
      </ddeItem>
      <ddeItem name="@CTA[8-2-1-5-9,F,#5]" advise="1">
        <values>
          <value>
            <val>812518</val>
          </value>
        </values>
      </ddeItem>
      <ddeItem name="@CTA[8-2-1-6-1,F,#5]" advise="1">
        <values>
          <value>
            <val>11790011</val>
          </value>
        </values>
      </ddeItem>
      <ddeItem name="@CTA[8-2-1-6-2,F,#5]" advise="1">
        <values>
          <value t="nil">
            <val>1</val>
          </value>
        </values>
      </ddeItem>
      <ddeItem name="@CTA[8-2-1-6-3,F,#5]" advise="1">
        <values>
          <value t="nil">
            <val>1</val>
          </value>
        </values>
      </ddeItem>
      <ddeItem name="@CTA[8-2-1-7-1,F,#5]" advise="1">
        <values>
          <value t="nil">
            <val>1</val>
          </value>
        </values>
      </ddeItem>
      <ddeItem name="@CTA[8-2-1-7-2,F,#5]" advise="1">
        <values>
          <value t="nil">
            <val>1</val>
          </value>
        </values>
      </ddeItem>
      <ddeItem name="@CTA[8-2-1-7-3,F,#5]" advise="1">
        <values>
          <value t="nil">
            <val>1</val>
          </value>
        </values>
      </ddeItem>
      <ddeItem name="@CTA[8-2-1-7-4,F,#5]" advise="1">
        <values>
          <value t="nil">
            <val>1</val>
          </value>
        </values>
      </ddeItem>
      <ddeItem name="@CTA[8-2-1-7-5,F,#5]" advise="1">
        <values>
          <value t="nil">
            <val>1</val>
          </value>
        </values>
      </ddeItem>
      <ddeItem name="@CTA[8-2-1-7-6,F,#5]" advise="1">
        <values>
          <value t="nil">
            <val>1</val>
          </value>
        </values>
      </ddeItem>
      <ddeItem name="@CTA[8-2-1-7-9,F,#5]" advise="1">
        <values>
          <value t="nil">
            <val>1</val>
          </value>
        </values>
      </ddeItem>
      <ddeItem name="@CTA[8-2-1-8-1,F,#5]" advise="1">
        <values>
          <value t="nil">
            <val>1</val>
          </value>
        </values>
      </ddeItem>
      <ddeItem name="@CTA[8-2-1-8-3,F,#5]" advise="1">
        <values>
          <value t="nil">
            <val>1</val>
          </value>
        </values>
      </ddeItem>
      <ddeItem name="@CTA[8-2-1-8-5,F,#5]" advise="1">
        <values>
          <value t="nil">
            <val>1</val>
          </value>
        </values>
      </ddeItem>
      <ddeItem name="@CTA[8-2-1-9-1,F,#5]" advise="1">
        <values>
          <value t="nil">
            <val>1</val>
          </value>
        </values>
      </ddeItem>
      <ddeItem name="@CTA[8-2-1-9-2,F,#5]" advise="1">
        <values>
          <value t="nil">
            <val>1</val>
          </value>
        </values>
      </ddeItem>
      <ddeItem name="@CTA[8-2-1-9-3,F,#5]" advise="1">
        <values>
          <value t="nil">
            <val>1</val>
          </value>
        </values>
      </ddeItem>
      <ddeItem name="@CTA[8-2-1-9-4,F,#5]" advise="1">
        <values>
          <value t="nil">
            <val>1</val>
          </value>
        </values>
      </ddeItem>
      <ddeItem name="@CTA[8-2-1-9-5,F,#5]" advise="1">
        <values>
          <value t="nil">
            <val>1</val>
          </value>
        </values>
      </ddeItem>
      <ddeItem name="@CTA[8-2-1-9-6,F,#5]" advise="1">
        <values>
          <value t="nil">
            <val>1</val>
          </value>
        </values>
      </ddeItem>
      <ddeItem name="@CTA[8-2-1-9-9,F,#5]" advise="1">
        <values>
          <value t="nil">
            <val>1</val>
          </value>
        </values>
      </ddeItem>
      <ddeItem name="@CTA[8-2-3,F,1,#3]" advise="1">
        <values>
          <value>
            <val>115684.76000000325</val>
          </value>
        </values>
      </ddeItem>
      <ddeItem name="@CTA[8-2-3,F,2,#3]" advise="1">
        <values>
          <value>
            <val>20510.060000001165</val>
          </value>
        </values>
      </ddeItem>
      <ddeItem name="@CTA[8-2-3,F,3,#3]" advise="1">
        <values>
          <value>
            <val>172624.80999999982</val>
          </value>
        </values>
      </ddeItem>
      <ddeItem name="@CTA[8-2-3,F,4,#3]" advise="1">
        <values>
          <value>
            <val>26041.859999999884</val>
          </value>
        </values>
      </ddeItem>
      <ddeItem name="@CTA[8-2-3,F,5,#3]" advise="1">
        <values>
          <value>
            <val>200161.80000000002</val>
          </value>
        </values>
      </ddeItem>
      <ddeItem name="@CTA[8-2-3,F,6,#3]" advise="1">
        <values>
          <value>
            <val>10495.96999999997</val>
          </value>
        </values>
      </ddeItem>
      <ddeItem name="@CTA[8-2-3,F,7,#3]" advise="1">
        <values>
          <value>
            <val>29631.379999999303</val>
          </value>
        </values>
      </ddeItem>
      <ddeItem name="@CTA[8-2-3,F,8,#3]" advise="1">
        <values>
          <value>
            <val>13726.250000000115</val>
          </value>
        </values>
      </ddeItem>
      <ddeItem name="@CTA[8-2-3,F,9,#3]" advise="1">
        <values>
          <value>
            <val>7127593.2600000035</val>
          </value>
        </values>
      </ddeItem>
      <ddeItem name="@CTA[8-2-3-1-1,F,#5]" advise="1">
        <values>
          <value>
            <val>-1.1641532182693481E-10</val>
          </value>
        </values>
      </ddeItem>
      <ddeItem name="@CTA[8-2-3-1-2,F,#5]" advise="1">
        <values>
          <value>
            <val>0</val>
          </value>
        </values>
      </ddeItem>
      <ddeItem name="@CTA[8-2-3-1-3,F,#5]" advise="1">
        <values>
          <value>
            <val>165858.89000000025</val>
          </value>
        </values>
      </ddeItem>
      <ddeItem name="@CTA[8-2-3-1-4,F,#5]" advise="1">
        <values>
          <value>
            <val>277140.60000000003</val>
          </value>
        </values>
      </ddeItem>
      <ddeItem name="@CTA[8-2-3-1-5,F,#5]" advise="1">
        <values>
          <value>
            <val>134141.11000000004</val>
          </value>
        </values>
      </ddeItem>
      <ddeItem name="@CTA[8-2-3-1-6,F,#5]" advise="1">
        <values>
          <value t="nil">
            <val>1</val>
          </value>
        </values>
      </ddeItem>
      <ddeItem name="@CTA[8-2-3-1-7,F,#5]" advise="1">
        <values>
          <value t="nil">
            <val>1</val>
          </value>
        </values>
      </ddeItem>
      <ddeItem name="@CTA[8-2-3-2-1,F,#5]" advise="1">
        <values>
          <value>
            <val>6.0000000029103828E-2</val>
          </value>
        </values>
      </ddeItem>
      <ddeItem name="@CTA[8-2-3-2-2,F,#5]" advise="1">
        <values>
          <value>
            <val>4.0000000007275958E-2</val>
          </value>
        </values>
      </ddeItem>
      <ddeItem name="@CTA[8-2-3-2-3,F,#5]" advise="1">
        <values>
          <value t="nil">
            <val>1</val>
          </value>
        </values>
      </ddeItem>
      <ddeItem name="@CTA[8-2-3-2-4,F,#5]" advise="1">
        <values>
          <value>
            <val>-3800</val>
          </value>
        </values>
      </ddeItem>
      <ddeItem name="@CTA[8-2-3-2-5,F,#5]" advise="1">
        <values>
          <value>
            <val>-8.7311491370201111E-11</val>
          </value>
        </values>
      </ddeItem>
      <ddeItem name="@CTA[8-2-3-2-6,F,#5]" advise="1">
        <values>
          <value>
            <val>0</val>
          </value>
        </values>
      </ddeItem>
      <ddeItem name="@CTA[8-2-3-2-7,F,#5]" advise="1">
        <values>
          <value>
            <val>-2.9103830456733704E-11</val>
          </value>
        </values>
      </ddeItem>
      <ddeItem name="@CTA[8-2-3-2-8,F,#5]" advise="1">
        <values>
          <value t="nil">
            <val>1</val>
          </value>
        </values>
      </ddeItem>
      <ddeItem name="@CTA[8-2-3-2-9,F,#5]" advise="1">
        <values>
          <value>
            <val>7.2759576141834259E-12</val>
          </value>
        </values>
      </ddeItem>
      <ddeItem name="@CTA[8-2-3-3-1,F,#5]" advise="1">
        <values>
          <value>
            <val>8508.4400000001751</val>
          </value>
        </values>
      </ddeItem>
      <ddeItem name="@CTA[8-2-3-3-2,F,#5]" advise="1">
        <values>
          <value>
            <val>0</val>
          </value>
        </values>
      </ddeItem>
      <ddeItem name="@CTA[8-2-3-3-3,F,#5]" advise="1">
        <values>
          <value>
            <val>9.3132257461547852E-10</val>
          </value>
        </values>
      </ddeItem>
      <ddeItem name="@CTA[8-2-3-3-4,F,#5]" advise="1">
        <values>
          <value>
            <val>-1.4551915228366852E-11</val>
          </value>
        </values>
      </ddeItem>
      <ddeItem name="@CTA[8-2-3-3-5,F,#5]" advise="1">
        <values>
          <value>
            <val>1.1641532182693481E-10</val>
          </value>
        </values>
      </ddeItem>
      <ddeItem name="@CTA[8-2-3-3-6,F,#5]" advise="1">
        <values>
          <value>
            <val>-70586</val>
          </value>
        </values>
      </ddeItem>
      <ddeItem name="@CTA[8-2-3-3-7,F,#5]" advise="1">
        <values>
          <value>
            <val>7.2759576141834259E-12</val>
          </value>
        </values>
      </ddeItem>
      <ddeItem name="@CTA[8-2-3-3-8,F,#5]" advise="1">
        <values>
          <value>
            <val>2.9103830456733704E-11</val>
          </value>
        </values>
      </ddeItem>
      <ddeItem name="@CTA[8-2-3-3-9,F,#5]" advise="1">
        <values>
          <value>
            <val>31031.000000000291</val>
          </value>
        </values>
      </ddeItem>
      <ddeItem name="@CTA[8-2-3-5-1,F,#5]" advise="1">
        <values>
          <value>
            <val>61317</val>
          </value>
        </values>
      </ddeItem>
      <ddeItem name="@CTA[8-2-3-5-2,F,#5]" advise="1">
        <values>
          <value>
            <val>-1.8189894035458565E-12</val>
          </value>
        </values>
      </ddeItem>
      <ddeItem name="@CTA[8-2-3-5-3,F,#5]" advise="1">
        <values>
          <value>
            <val>0</val>
          </value>
        </values>
      </ddeItem>
      <ddeItem name="@CTA[8-2-3-5-4,F,#5]" advise="1">
        <values>
          <value>
            <val>0</val>
          </value>
        </values>
      </ddeItem>
      <ddeItem name="@CTA[8-2-3-5-5,F,#5]" advise="1">
        <values>
          <value>
            <val>0</val>
          </value>
        </values>
      </ddeItem>
      <ddeItem name="@CTA[8-2-3-5-6,F,#5]" advise="1">
        <values>
          <value>
            <val>9268.9999999999418</val>
          </value>
        </values>
      </ddeItem>
      <ddeItem name="@CTA[8-2-3-5-7,F,#5]" advise="1">
        <values>
          <value t="nil">
            <val>1</val>
          </value>
        </values>
      </ddeItem>
      <ddeItem name="@CTA[8-2-3-5-8,F,#5]" advise="1">
        <values>
          <value>
            <val>0</val>
          </value>
        </values>
      </ddeItem>
      <ddeItem name="@CTA[8-2-3-5-9,F,#5]" advise="1">
        <values>
          <value>
            <val>-4.6566128730773926E-10</val>
          </value>
        </values>
      </ddeItem>
      <ddeItem name="@CTA[8-2-3-6-1,F,#5]" advise="1">
        <values>
          <value>
            <val>7403590.0100000016</val>
          </value>
        </values>
      </ddeItem>
      <ddeItem name="@CTA[8-2-3-6-2,F,#5]" advise="1">
        <values>
          <value t="nil">
            <val>1</val>
          </value>
        </values>
      </ddeItem>
      <ddeItem name="@CTA[8-2-3-6-3,F,#5]" advise="1">
        <values>
          <value t="nil">
            <val>1</val>
          </value>
        </values>
      </ddeItem>
      <ddeItem name="@CTA[8-2-3-7-1,F,#5]" advise="1">
        <values>
          <value t="nil">
            <val>1</val>
          </value>
        </values>
      </ddeItem>
      <ddeItem name="@CTA[8-2-3-7-2,F,#5]" advise="1">
        <values>
          <value t="nil">
            <val>1</val>
          </value>
        </values>
      </ddeItem>
      <ddeItem name="@CTA[8-2-3-7-3,F,#5]" advise="1">
        <values>
          <value t="nil">
            <val>1</val>
          </value>
        </values>
      </ddeItem>
      <ddeItem name="@CTA[8-2-3-7-4,F,#5]" advise="1">
        <values>
          <value t="nil">
            <val>1</val>
          </value>
        </values>
      </ddeItem>
      <ddeItem name="@CTA[8-2-3-7-5,F,#5]" advise="1">
        <values>
          <value t="nil">
            <val>1</val>
          </value>
        </values>
      </ddeItem>
      <ddeItem name="@CTA[8-2-3-7-6,F,#5]" advise="1">
        <values>
          <value t="nil">
            <val>1</val>
          </value>
        </values>
      </ddeItem>
      <ddeItem name="@CTA[8-2-3-7-9,F,#5]" advise="1">
        <values>
          <value t="nil">
            <val>1</val>
          </value>
        </values>
      </ddeItem>
      <ddeItem name="@CTA[8-2-3-8-1,F,#5]" advise="1">
        <values>
          <value t="nil">
            <val>1</val>
          </value>
        </values>
      </ddeItem>
      <ddeItem name="@CTA[8-2-3-8-3,F,#5]" advise="1">
        <values>
          <value t="nil">
            <val>1</val>
          </value>
        </values>
      </ddeItem>
      <ddeItem name="@CTA[8-2-3-8-5,F,#5]" advise="1">
        <values>
          <value t="nil">
            <val>1</val>
          </value>
        </values>
      </ddeItem>
      <ddeItem name="@CTA[8-2-3-9-1,F,#5]" advise="1">
        <values>
          <value t="nil">
            <val>1</val>
          </value>
        </values>
      </ddeItem>
      <ddeItem name="@CTA[8-2-3-9-2,F,#5]" advise="1">
        <values>
          <value t="nil">
            <val>1</val>
          </value>
        </values>
      </ddeItem>
      <ddeItem name="@CTA[8-2-3-9-3,F,#5]" advise="1">
        <values>
          <value t="nil">
            <val>1</val>
          </value>
        </values>
      </ddeItem>
      <ddeItem name="@CTA[8-2-3-9-4,F,#5]" advise="1">
        <values>
          <value t="nil">
            <val>1</val>
          </value>
        </values>
      </ddeItem>
      <ddeItem name="@CTA[8-2-3-9-5,F,#5]" advise="1">
        <values>
          <value t="nil">
            <val>1</val>
          </value>
        </values>
      </ddeItem>
      <ddeItem name="@CTA[8-2-3-9-6,F,#5]" advise="1">
        <values>
          <value t="nil">
            <val>1</val>
          </value>
        </values>
      </ddeItem>
      <ddeItem name="@CTA[8-2-3-9-9,F,#5]" advise="1">
        <values>
          <value t="nil">
            <val>1</val>
          </value>
        </values>
      </ddeItem>
      <ddeItem name="@CTA[8-2-4,J,1,#3]" advise="1">
        <values>
          <value>
            <val>4888335.0500000007</val>
          </value>
        </values>
      </ddeItem>
      <ddeItem name="@CTA[8-2-4,J,2,#3]" advise="1">
        <values>
          <value>
            <val>920689.21</val>
          </value>
        </values>
      </ddeItem>
      <ddeItem name="@CTA[8-2-4,J,3,#3]" advise="1">
        <values>
          <value>
            <val>464409.70999999996</val>
          </value>
        </values>
      </ddeItem>
      <ddeItem name="@CTA[8-2-4,J,4,#3]" advise="1">
        <values>
          <value>
            <val>411859.83</val>
          </value>
        </values>
      </ddeItem>
      <ddeItem name="@CTA[8-2-4,J,5,#3]" advise="1">
        <values>
          <value>
            <val>996291.40000000014</val>
          </value>
        </values>
      </ddeItem>
      <ddeItem name="@CTA[8-2-4,J,6,#3]" advise="1">
        <values>
          <value>
            <val>137441.79</val>
          </value>
        </values>
      </ddeItem>
      <ddeItem name="@CTA[8-2-4,J,7,#3]" advise="1">
        <values>
          <value>
            <val>1222460.9300000002</val>
          </value>
        </values>
      </ddeItem>
      <ddeItem name="@CTA[8-2-4,J,8,#3]" advise="1">
        <values>
          <value>
            <val>211728.60000000003</val>
          </value>
        </values>
      </ddeItem>
      <ddeItem name="@CTA[8-2-4,J,9,#3]" advise="1">
        <values>
          <value>
            <val>2810137.76</val>
          </value>
        </values>
      </ddeItem>
      <ddeItem name="@CTA[8-2-5-1-1,J,#5]" advise="1">
        <values>
          <value>
            <val>2209962.7200000002</val>
          </value>
        </values>
      </ddeItem>
      <ddeItem name="@CTA[8-2-5-1-2,J,#5]" advise="1">
        <values>
          <value>
            <val>131985.1</val>
          </value>
        </values>
      </ddeItem>
      <ddeItem name="@CTA[8-2-5-1-3,J,#5]" advise="1">
        <values>
          <value>
            <val>419138.66000000003</val>
          </value>
        </values>
      </ddeItem>
      <ddeItem name="@CTA[8-2-5-1-4,J,#5]" advise="1">
        <values>
          <value>
            <val>510228.94000000012</val>
          </value>
        </values>
      </ddeItem>
      <ddeItem name="@CTA[8-2-5-1-5,J,#5]" advise="1">
        <values>
          <value>
            <val>643683.39</val>
          </value>
        </values>
      </ddeItem>
      <ddeItem name="@CTA[8-2-5-1-6,J,#5]" advise="1">
        <values>
          <value t="nil">
            <val>1</val>
          </value>
        </values>
      </ddeItem>
      <ddeItem name="@CTA[8-2-5-1-7,J,#5]" advise="1">
        <values>
          <value t="nil">
            <val>1</val>
          </value>
        </values>
      </ddeItem>
      <ddeItem name="@CTA[8-2-5-2-1,J,#5]" advise="1">
        <values>
          <value>
            <val>45147.75</val>
          </value>
        </values>
      </ddeItem>
      <ddeItem name="@CTA[8-2-5-2-2,J,#5]" advise="1">
        <values>
          <value>
            <val>16061.890000000001</val>
          </value>
        </values>
      </ddeItem>
      <ddeItem name="@CTA[8-2-5-2-3,J,#5]" advise="1">
        <values>
          <value t="nil">
            <val>1</val>
          </value>
        </values>
      </ddeItem>
      <ddeItem name="@CTA[8-2-5-2-4,J,#5]" advise="1">
        <values>
          <value>
            <val>677385.47</val>
          </value>
        </values>
      </ddeItem>
      <ddeItem name="@CTA[8-2-5-2-5,J,#5]" advise="1">
        <values>
          <value>
            <val>125237.51000000001</val>
          </value>
        </values>
      </ddeItem>
      <ddeItem name="@CTA[8-2-5-2-6,J,#5]" advise="1">
        <values>
          <value>
            <val>177352.27000000002</val>
          </value>
        </values>
      </ddeItem>
      <ddeItem name="@CTA[8-2-5-2-7,J,#5]" advise="1">
        <values>
          <value>
            <val>130730.80000000002</val>
          </value>
        </values>
      </ddeItem>
      <ddeItem name="@CTA[8-2-5-2-8,J,#5]" advise="1">
        <values>
          <value t="nil">
            <val>1</val>
          </value>
        </values>
      </ddeItem>
      <ddeItem name="@CTA[8-2-5-2-9,J,#5]" advise="1">
        <values>
          <value>
            <val>22553.83</val>
          </value>
        </values>
      </ddeItem>
      <ddeItem name="@CTA[8-2-5-3-1,J,#5]" advise="1">
        <values>
          <value>
            <val>2018472.0299999989</val>
          </value>
        </values>
      </ddeItem>
      <ddeItem name="@CTA[8-2-5-3-2,J,#5]" advise="1">
        <values>
          <value>
            <val>953.21000000000015</val>
          </value>
        </values>
      </ddeItem>
      <ddeItem name="@CTA[8-2-5-3-3,J,#5]" advise="1">
        <values>
          <value>
            <val>728096.87</val>
          </value>
        </values>
      </ddeItem>
      <ddeItem name="@CTA[8-2-5-3-4,J,#5]" advise="1">
        <values>
          <value>
            <val>108898.89</val>
          </value>
        </values>
      </ddeItem>
      <ddeItem name="@CTA[8-2-5-3-5,J,#5]" advise="1">
        <values>
          <value>
            <val>975332.8899999999</val>
          </value>
        </values>
      </ddeItem>
      <ddeItem name="@CTA[8-2-5-3-6,J,#5]" advise="1">
        <values>
          <value>
            <val>15259.35</val>
          </value>
        </values>
      </ddeItem>
      <ddeItem name="@CTA[8-2-5-3-7,J,#5]" advise="1">
        <values>
          <value>
            <val>1603.3700000000001</val>
          </value>
        </values>
      </ddeItem>
      <ddeItem name="@CTA[8-2-5-3-8,J,#5]" advise="1">
        <values>
          <value>
            <val>41463.430000000008</val>
          </value>
        </values>
      </ddeItem>
      <ddeItem name="@CTA[8-2-5-3-9,J,#5]" advise="1">
        <values>
          <value>
            <val>533817.82999999996</val>
          </value>
        </values>
      </ddeItem>
      <ddeItem name="@CTA[8-2-5-5-1,J,#5]" advise="1">
        <values>
          <value>
            <val>8864.64</val>
          </value>
        </values>
      </ddeItem>
      <ddeItem name="@CTA[8-2-5-5-2,J,#5]" advise="1">
        <values>
          <value>
            <val>24059.22</val>
          </value>
        </values>
      </ddeItem>
      <ddeItem name="@CTA[8-2-5-5-3,J,#5]" advise="1">
        <values>
          <value>
            <val>0</val>
          </value>
        </values>
      </ddeItem>
      <ddeItem name="@CTA[8-2-5-5-4,J,#5]" advise="1">
        <values>
          <value>
            <val>22758.62</val>
          </value>
        </values>
      </ddeItem>
      <ddeItem name="@CTA[8-2-5-5-5,J,#5]" advise="1">
        <values>
          <value>
            <val>0</val>
          </value>
        </values>
      </ddeItem>
      <ddeItem name="@CTA[8-2-5-5-6,J,#5]" advise="1">
        <values>
          <value>
            <val>0</val>
          </value>
        </values>
      </ddeItem>
      <ddeItem name="@CTA[8-2-5-5-7,J,#5]" advise="1">
        <values>
          <value t="nil">
            <val>1</val>
          </value>
        </values>
      </ddeItem>
      <ddeItem name="@CTA[8-2-5-5-8,J,#5]" advise="1">
        <values>
          <value>
            <val>0</val>
          </value>
        </values>
      </ddeItem>
      <ddeItem name="@CTA[8-2-5-5-9,J,#5]" advise="1">
        <values>
          <value>
            <val>0</val>
          </value>
        </values>
      </ddeItem>
      <ddeItem name="@CTA[8-2-5-6-1,J,#5]" advise="1">
        <values>
          <value>
            <val>2474305.5999999996</val>
          </value>
        </values>
      </ddeItem>
      <ddeItem name="@CTA[8-2-5-6-2,J,#5]" advise="1">
        <values>
          <value t="nil">
            <val>1</val>
          </value>
        </values>
      </ddeItem>
      <ddeItem name="@CTA[8-2-5-6-3,J,#5]" advise="1">
        <values>
          <value t="nil">
            <val>1</val>
          </value>
        </values>
      </ddeItem>
      <ddeItem name="@CTA[8-2-5-7-1,J,#5]" advise="1">
        <values>
          <value t="nil">
            <val>1</val>
          </value>
        </values>
      </ddeItem>
      <ddeItem name="@CTA[8-2-5-7-2,J,#5]" advise="1">
        <values>
          <value t="nil">
            <val>1</val>
          </value>
        </values>
      </ddeItem>
      <ddeItem name="@CTA[8-2-5-7-3,J,#5]" advise="1">
        <values>
          <value t="nil">
            <val>1</val>
          </value>
        </values>
      </ddeItem>
      <ddeItem name="@CTA[8-2-5-7-4,J,#5]" advise="1">
        <values>
          <value t="nil">
            <val>1</val>
          </value>
        </values>
      </ddeItem>
      <ddeItem name="@CTA[8-2-5-7-5,J,#5]" advise="1">
        <values>
          <value t="nil">
            <val>1</val>
          </value>
        </values>
      </ddeItem>
      <ddeItem name="@CTA[8-2-5-7-6,J,#5]" advise="1">
        <values>
          <value t="nil">
            <val>1</val>
          </value>
        </values>
      </ddeItem>
      <ddeItem name="@CTA[8-2-5-7-9,J,#5]" advise="1">
        <values>
          <value t="nil">
            <val>1</val>
          </value>
        </values>
      </ddeItem>
      <ddeItem name="@CTA[8-2-5-8-1,J,#5]" advise="1">
        <values>
          <value t="nil">
            <val>1</val>
          </value>
        </values>
      </ddeItem>
      <ddeItem name="@CTA[8-2-5-8-3,J,#5]" advise="1">
        <values>
          <value t="nil">
            <val>1</val>
          </value>
        </values>
      </ddeItem>
      <ddeItem name="@CTA[8-2-5-8-5,J,#5]" advise="1">
        <values>
          <value t="nil">
            <val>1</val>
          </value>
        </values>
      </ddeItem>
      <ddeItem name="@CTA[8-2-5-9-1,J,#5]" advise="1">
        <values>
          <value t="nil">
            <val>1</val>
          </value>
        </values>
      </ddeItem>
      <ddeItem name="@CTA[8-2-5-9-2,J,#5]" advise="1">
        <values>
          <value t="nil">
            <val>1</val>
          </value>
        </values>
      </ddeItem>
      <ddeItem name="@CTA[8-2-5-9-3,J,#5]" advise="1">
        <values>
          <value t="nil">
            <val>1</val>
          </value>
        </values>
      </ddeItem>
      <ddeItem name="@CTA[8-2-5-9-4,J,#5]" advise="1">
        <values>
          <value t="nil">
            <val>1</val>
          </value>
        </values>
      </ddeItem>
      <ddeItem name="@CTA[8-2-5-9-5,J,#5]" advise="1">
        <values>
          <value t="nil">
            <val>1</val>
          </value>
        </values>
      </ddeItem>
      <ddeItem name="@CTA[8-2-5-9-6,J,#5]" advise="1">
        <values>
          <value t="nil">
            <val>1</val>
          </value>
        </values>
      </ddeItem>
      <ddeItem name="@CTA[8-2-5-9-9,J,#5]" advise="1">
        <values>
          <value t="nil">
            <val>1</val>
          </value>
        </values>
      </ddeItem>
      <ddeItem name="@CTA[8-2-7,F,1,#3]" advise="1">
        <values>
          <value>
            <val>4774668.6699999953</val>
          </value>
        </values>
      </ddeItem>
      <ddeItem name="@CTA[8-2-7,F,2,#3]" advise="1">
        <values>
          <value>
            <val>901668.55000000051</val>
          </value>
        </values>
      </ddeItem>
      <ddeItem name="@CTA[8-2-7,F,3,#3]" advise="1">
        <values>
          <value>
            <val>422422.57</val>
          </value>
        </values>
      </ddeItem>
      <ddeItem name="@CTA[8-2-7,F,4,#3]" advise="1">
        <values>
          <value>
            <val>382166.28999999812</val>
          </value>
        </values>
      </ddeItem>
      <ddeItem name="@CTA[8-2-7,F,5,#3]" advise="1">
        <values>
          <value>
            <val>958612.92000000202</val>
          </value>
        </values>
      </ddeItem>
      <ddeItem name="@CTA[8-2-7,F,6,#3]" advise="1">
        <values>
          <value>
            <val>123652.70000000019</val>
          </value>
        </values>
      </ddeItem>
      <ddeItem name="@CTA[8-2-7,F,7,#3]" advise="1">
        <values>
          <value>
            <val>1011024.690000002</val>
          </value>
        </values>
      </ddeItem>
      <ddeItem name="@CTA[8-2-7,F,8,#3]" advise="1">
        <values>
          <value>
            <val>25158.189999999595</val>
          </value>
        </values>
      </ddeItem>
      <ddeItem name="@CTA[8-2-7,F,9,#3]" advise="1">
        <values>
          <value>
            <val>2784291.810000001</val>
          </value>
        </values>
      </ddeItem>
      <ddeItem name="@CTA[8-2-7-1-1,F,#5]" advise="1">
        <values>
          <value>
            <val>2041912.6799999971</val>
          </value>
        </values>
      </ddeItem>
      <ddeItem name="@CTA[8-2-7-1-2,F,#5]" advise="1">
        <values>
          <value>
            <val>131985.09999999971</val>
          </value>
        </values>
      </ddeItem>
      <ddeItem name="@CTA[8-2-7-1-3,F,#5]" advise="1">
        <values>
          <value>
            <val>407078.56999999908</val>
          </value>
        </values>
      </ddeItem>
      <ddeItem name="@CTA[8-2-7-1-4,F,#5]" advise="1">
        <values>
          <value>
            <val>411319.09000000113</val>
          </value>
        </values>
      </ddeItem>
      <ddeItem name="@CTA[8-2-7-1-5,F,#5]" advise="1">
        <values>
          <value>
            <val>599503.76999999979</val>
          </value>
        </values>
      </ddeItem>
      <ddeItem name="@CTA[8-2-7-1-6,F,#5]" advise="1">
        <values>
          <value t="nil">
            <val>1</val>
          </value>
        </values>
      </ddeItem>
      <ddeItem name="@CTA[8-2-7-1-7,F,#5]" advise="1">
        <values>
          <value t="nil">
            <val>1</val>
          </value>
        </values>
      </ddeItem>
      <ddeItem name="@CTA[8-2-7-2-1,F,#5]" advise="1">
        <values>
          <value>
            <val>41368.419999999955</val>
          </value>
        </values>
      </ddeItem>
      <ddeItem name="@CTA[8-2-7-2-2,F,#5]" advise="1">
        <values>
          <value>
            <val>15528.889999999968</val>
          </value>
        </values>
      </ddeItem>
      <ddeItem name="@CTA[8-2-7-2-3,F,#5]" advise="1">
        <values>
          <value t="nil">
            <val>1</val>
          </value>
        </values>
      </ddeItem>
      <ddeItem name="@CTA[8-2-7-2-4,F,#5]" advise="1">
        <values>
          <value>
            <val>672045.47000000125</val>
          </value>
        </values>
      </ddeItem>
      <ddeItem name="@CTA[8-2-7-2-5,F,#5]" advise="1">
        <values>
          <value>
            <val>125021.99999999988</val>
          </value>
        </values>
      </ddeItem>
      <ddeItem name="@CTA[8-2-7-2-6,F,#5]" advise="1">
        <values>
          <value>
            <val>155146.61999999982</val>
          </value>
        </values>
      </ddeItem>
      <ddeItem name="@CTA[8-2-7-2-7,F,#5]" advise="1">
        <values>
          <value>
            <val>130730.79999999999</val>
          </value>
        </values>
      </ddeItem>
      <ddeItem name="@CTA[8-2-7-2-8,F,#5]" advise="1">
        <values>
          <value t="nil">
            <val>1</val>
          </value>
        </values>
      </ddeItem>
      <ddeItem name="@CTA[8-2-7-2-9,F,#5]" advise="1">
        <values>
          <value>
            <val>20946.610000000015</val>
          </value>
        </values>
      </ddeItem>
      <ddeItem name="@CTA[8-2-7-3-1,F,#5]" advise="1">
        <values>
          <value>
            <val>1813066.9699999993</val>
          </value>
        </values>
      </ddeItem>
      <ddeItem name="@CTA[8-2-7-3-2,F,#5]" advise="1">
        <values>
          <value>
            <val>953.21000000000458</val>
          </value>
        </values>
      </ddeItem>
      <ddeItem name="@CTA[8-2-7-3-3,F,#5]" advise="1">
        <values>
          <value>
            <val>695313.15000000037</val>
          </value>
        </values>
      </ddeItem>
      <ddeItem name="@CTA[8-2-7-3-4,F,#5]" advise="1">
        <values>
          <value>
            <val>108885.10000000022</val>
          </value>
        </values>
      </ddeItem>
      <ddeItem name="@CTA[8-2-7-3-5,F,#5]" advise="1">
        <values>
          <value>
            <val>910610.4999999986</val>
          </value>
        </values>
      </ddeItem>
      <ddeItem name="@CTA[8-2-7-3-6,F,#5]" advise="1">
        <values>
          <value>
            <val>15259.349999999979</val>
          </value>
        </values>
      </ddeItem>
      <ddeItem name="@CTA[8-2-7-3-7,F,#5]" advise="1">
        <values>
          <value>
            <val>1603.3700000000006</val>
          </value>
        </values>
      </ddeItem>
      <ddeItem name="@CTA[8-2-7-3-8,F,#5]" advise="1">
        <values>
          <value>
            <val>41463.430000000058</val>
          </value>
        </values>
      </ddeItem>
      <ddeItem name="@CTA[8-2-7-3-9,F,#5]" advise="1">
        <values>
          <value>
            <val>513935.20999999996</val>
          </value>
        </values>
      </ddeItem>
      <ddeItem name="@CTA[8-2-7-5-1,F,#5]" advise="1">
        <values>
          <value>
            <val>8864.6400000000867</val>
          </value>
        </values>
      </ddeItem>
      <ddeItem name="@CTA[8-2-7-5-2,F,#5]" advise="1">
        <values>
          <value>
            <val>24059.22</val>
          </value>
        </values>
      </ddeItem>
      <ddeItem name="@CTA[8-2-7-5-3,F,#5]" advise="1">
        <values>
          <value>
            <val>0</val>
          </value>
        </values>
      </ddeItem>
      <ddeItem name="@CTA[8-2-7-5-4,F,#5]" advise="1">
        <values>
          <value>
            <val>22758.620000000003</val>
          </value>
        </values>
      </ddeItem>
      <ddeItem name="@CTA[8-2-7-5-5,F,#5]" advise="1">
        <values>
          <value>
            <val>0</val>
          </value>
        </values>
      </ddeItem>
      <ddeItem name="@CTA[8-2-7-5-6,F,#5]" advise="1">
        <values>
          <value>
            <val>0</val>
          </value>
        </values>
      </ddeItem>
      <ddeItem name="@CTA[8-2-7-5-7,F,#5]" advise="1">
        <values>
          <value t="nil">
            <val>1</val>
          </value>
        </values>
      </ddeItem>
      <ddeItem name="@CTA[8-2-7-5-8,F,#5]" advise="1">
        <values>
          <value>
            <val>0</val>
          </value>
        </values>
      </ddeItem>
      <ddeItem name="@CTA[8-2-7-5-9,F,#5]" advise="1">
        <values>
          <value>
            <val>7.2759576141834259E-12</val>
          </value>
        </values>
      </ddeItem>
      <ddeItem name="@CTA[8-2-7-6-1,F,#5]" advise="1">
        <values>
          <value>
            <val>2474305.5999999996</val>
          </value>
        </values>
      </ddeItem>
      <ddeItem name="@CTA[8-2-7-6-2,F,#5]" advise="1">
        <values>
          <value t="nil">
            <val>1</val>
          </value>
        </values>
      </ddeItem>
      <ddeItem name="@CTA[8-2-7-6-3,F,#5]" advise="1">
        <values>
          <value t="nil">
            <val>1</val>
          </value>
        </values>
      </ddeItem>
      <ddeItem name="@CTA[8-2-7-7-1,F,#5]" advise="1">
        <values>
          <value t="nil">
            <val>1</val>
          </value>
        </values>
      </ddeItem>
      <ddeItem name="@CTA[8-2-7-7-2,F,#5]" advise="1">
        <values>
          <value t="nil">
            <val>1</val>
          </value>
        </values>
      </ddeItem>
      <ddeItem name="@CTA[8-2-7-7-3,F,#5]" advise="1">
        <values>
          <value t="nil">
            <val>1</val>
          </value>
        </values>
      </ddeItem>
      <ddeItem name="@CTA[8-2-7-7-4,F,#5]" advise="1">
        <values>
          <value t="nil">
            <val>1</val>
          </value>
        </values>
      </ddeItem>
      <ddeItem name="@CTA[8-2-7-7-5,F,#5]" advise="1">
        <values>
          <value t="nil">
            <val>1</val>
          </value>
        </values>
      </ddeItem>
      <ddeItem name="@CTA[8-2-7-7-6,F,#5]" advise="1">
        <values>
          <value t="nil">
            <val>1</val>
          </value>
        </values>
      </ddeItem>
      <ddeItem name="@CTA[8-2-7-7-9,F,#5]" advise="1">
        <values>
          <value t="nil">
            <val>1</val>
          </value>
        </values>
      </ddeItem>
      <ddeItem name="@CTA[8-2-7-8-1,F,#5]" advise="1">
        <values>
          <value t="nil">
            <val>1</val>
          </value>
        </values>
      </ddeItem>
      <ddeItem name="@CTA[8-2-7-8-3,F,#5]" advise="1">
        <values>
          <value t="nil">
            <val>1</val>
          </value>
        </values>
      </ddeItem>
      <ddeItem name="@CTA[8-2-7-8-5,F,#5]" advise="1">
        <values>
          <value t="nil">
            <val>1</val>
          </value>
        </values>
      </ddeItem>
      <ddeItem name="@CTA[8-2-7-9-1,F,#5]" advise="1">
        <values>
          <value t="nil">
            <val>1</val>
          </value>
        </values>
      </ddeItem>
      <ddeItem name="@CTA[8-2-7-9-2,F,#5]" advise="1">
        <values>
          <value t="nil">
            <val>1</val>
          </value>
        </values>
      </ddeItem>
      <ddeItem name="@CTA[8-2-7-9-3,F,#5]" advise="1">
        <values>
          <value t="nil">
            <val>1</val>
          </value>
        </values>
      </ddeItem>
      <ddeItem name="@CTA[8-2-7-9-4,F,#5]" advise="1">
        <values>
          <value t="nil">
            <val>1</val>
          </value>
        </values>
      </ddeItem>
      <ddeItem name="@CTA[8-2-7-9-5,F,#5]" advise="1">
        <values>
          <value t="nil">
            <val>1</val>
          </value>
        </values>
      </ddeItem>
      <ddeItem name="@CTA[8-2-7-9-6,F,#5]" advise="1">
        <values>
          <value t="nil">
            <val>1</val>
          </value>
        </values>
      </ddeItem>
      <ddeItem name="@CTA[8-2-7-9-9,F,#5]" advise="1">
        <values>
          <value t="nil">
            <val>1</val>
          </value>
        </values>
      </ddeItem>
      <ddeItem name="StdDocumentName" ole="1" advise="1"/>
    </ddeItems>
  </dd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43"/>
  </cols>
  <sheetData>
    <row r="1" spans="1:2">
      <c r="A1" s="42"/>
      <c r="B1" s="42"/>
    </row>
    <row r="2020" spans="1:1">
      <c r="A2020" s="44" t="s">
        <v>147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8"/>
  <sheetViews>
    <sheetView showGridLines="0" tabSelected="1" workbookViewId="0">
      <selection activeCell="C9" sqref="C9"/>
    </sheetView>
  </sheetViews>
  <sheetFormatPr baseColWidth="10" defaultRowHeight="12.75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>
      <c r="A1" s="61" t="s">
        <v>154</v>
      </c>
      <c r="B1" s="62"/>
      <c r="C1" s="62"/>
      <c r="D1" s="62"/>
      <c r="E1" s="62"/>
      <c r="F1" s="62"/>
      <c r="G1" s="63"/>
    </row>
    <row r="2" spans="1:7">
      <c r="A2" s="2"/>
      <c r="B2" s="64" t="s">
        <v>0</v>
      </c>
      <c r="C2" s="64"/>
      <c r="D2" s="64"/>
      <c r="E2" s="64"/>
      <c r="F2" s="64"/>
      <c r="G2" s="2"/>
    </row>
    <row r="3" spans="1:7" ht="22.5">
      <c r="A3" s="3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>
      <c r="A4" s="6" t="s">
        <v>8</v>
      </c>
      <c r="B4" s="7">
        <f>B5+B13+B23+B33+B43+B53+B57+B66+B70</f>
        <v>52030352</v>
      </c>
      <c r="C4" s="7">
        <f t="shared" ref="C4:G4" si="0">C5+C13+C23+C33+C43+C53+C57+C66+C70</f>
        <v>8322710.2300000032</v>
      </c>
      <c r="D4" s="7">
        <f t="shared" si="0"/>
        <v>60353062.230000004</v>
      </c>
      <c r="E4" s="7">
        <f t="shared" si="0"/>
        <v>12063354.279999999</v>
      </c>
      <c r="F4" s="7">
        <f t="shared" si="0"/>
        <v>11383666.389999997</v>
      </c>
      <c r="G4" s="7">
        <f t="shared" si="0"/>
        <v>48289707.950000003</v>
      </c>
    </row>
    <row r="5" spans="1:7">
      <c r="A5" s="8" t="s">
        <v>9</v>
      </c>
      <c r="B5" s="9">
        <f>SUM(B6:B12)</f>
        <v>17584398</v>
      </c>
      <c r="C5" s="9">
        <f t="shared" ref="C5:G5" si="1">SUM(C6:C12)</f>
        <v>577140.60000000021</v>
      </c>
      <c r="D5" s="9">
        <f t="shared" si="1"/>
        <v>18161538.600000001</v>
      </c>
      <c r="E5" s="9">
        <f t="shared" si="1"/>
        <v>3914998.8100000005</v>
      </c>
      <c r="F5" s="9">
        <f t="shared" si="1"/>
        <v>3591799.2099999972</v>
      </c>
      <c r="G5" s="9">
        <f t="shared" si="1"/>
        <v>14246539.789999999</v>
      </c>
    </row>
    <row r="6" spans="1:7">
      <c r="A6" s="10" t="s">
        <v>10</v>
      </c>
      <c r="B6" s="45">
        <f>[1]!'@CTA[8-2-1-1-1,F,#5]'</f>
        <v>9706928</v>
      </c>
      <c r="C6" s="45">
        <f>[1]!'@CTA[8-2-3-1-1,F,#5]'</f>
        <v>-1.1641532182693481E-10</v>
      </c>
      <c r="D6" s="45">
        <f>[1]!'@CTA[8-2-1-1-1,F,#5]'+[1]!'@CTA[8-2-3-1-1,F,#5]'</f>
        <v>9706928</v>
      </c>
      <c r="E6" s="45">
        <f>[1]!'@CTA[8-2-5-1-1,J,#5]'</f>
        <v>2209962.7200000002</v>
      </c>
      <c r="F6" s="45">
        <f>[1]!'@CTA[8-2-7-1-1,F,#5]'</f>
        <v>2041912.6799999971</v>
      </c>
      <c r="G6" s="11">
        <f>D6-E6</f>
        <v>7496965.2799999993</v>
      </c>
    </row>
    <row r="7" spans="1:7">
      <c r="A7" s="10" t="s">
        <v>11</v>
      </c>
      <c r="B7" s="45">
        <f>[1]!'@CTA[8-2-1-1-2,F,#5]'</f>
        <v>760618</v>
      </c>
      <c r="C7" s="45">
        <f>[1]!'@CTA[8-2-3-1-2,F,#5]'</f>
        <v>0</v>
      </c>
      <c r="D7" s="45">
        <f>[1]!'@CTA[8-2-1-1-2,F,#5]'+[1]!'@CTA[8-2-3-1-2,F,#5]'</f>
        <v>760618</v>
      </c>
      <c r="E7" s="45">
        <f>[1]!'@CTA[8-2-5-1-2,J,#5]'</f>
        <v>131985.1</v>
      </c>
      <c r="F7" s="45">
        <f>[1]!'@CTA[8-2-7-1-2,F,#5]'</f>
        <v>131985.09999999971</v>
      </c>
      <c r="G7" s="11">
        <f t="shared" ref="G7:G70" si="2">D7-E7</f>
        <v>628632.9</v>
      </c>
    </row>
    <row r="8" spans="1:7">
      <c r="A8" s="10" t="s">
        <v>12</v>
      </c>
      <c r="B8" s="45">
        <f>[1]!'@CTA[8-2-1-1-3,F,#5]'</f>
        <v>2004291</v>
      </c>
      <c r="C8" s="45">
        <f>[1]!'@CTA[8-2-3-1-3,F,#5]'</f>
        <v>165858.89000000025</v>
      </c>
      <c r="D8" s="45">
        <f>[1]!'@CTA[8-2-1-1-3,F,#5]'+[1]!'@CTA[8-2-3-1-3,F,#5]'</f>
        <v>2170149.89</v>
      </c>
      <c r="E8" s="45">
        <f>[1]!'@CTA[8-2-5-1-3,J,#5]'</f>
        <v>419138.66000000003</v>
      </c>
      <c r="F8" s="45">
        <f>[1]!'@CTA[8-2-7-1-3,F,#5]'</f>
        <v>407078.56999999908</v>
      </c>
      <c r="G8" s="11">
        <f t="shared" si="2"/>
        <v>1751011.23</v>
      </c>
    </row>
    <row r="9" spans="1:7">
      <c r="A9" s="10" t="s">
        <v>13</v>
      </c>
      <c r="B9" s="45">
        <f>[1]!'@CTA[8-2-1-1-4,F,#5]'</f>
        <v>2469709</v>
      </c>
      <c r="C9" s="45">
        <f>[1]!'@CTA[8-2-3-1-4,F,#5]'</f>
        <v>277140.60000000003</v>
      </c>
      <c r="D9" s="45">
        <f>[1]!'@CTA[8-2-1-1-4,F,#5]'+[1]!'@CTA[8-2-3-1-4,F,#5]'</f>
        <v>2746849.6</v>
      </c>
      <c r="E9" s="45">
        <f>[1]!'@CTA[8-2-5-1-4,J,#5]'</f>
        <v>510228.94000000012</v>
      </c>
      <c r="F9" s="45">
        <f>[1]!'@CTA[8-2-7-1-4,F,#5]'</f>
        <v>411319.09000000113</v>
      </c>
      <c r="G9" s="11">
        <f t="shared" si="2"/>
        <v>2236620.66</v>
      </c>
    </row>
    <row r="10" spans="1:7">
      <c r="A10" s="10" t="s">
        <v>14</v>
      </c>
      <c r="B10" s="45">
        <f>[1]!'@CTA[8-2-1-1-5,F,#5]'</f>
        <v>2642852</v>
      </c>
      <c r="C10" s="45">
        <f>[1]!'@CTA[8-2-3-1-5,F,#5]'</f>
        <v>134141.11000000004</v>
      </c>
      <c r="D10" s="45">
        <f>[1]!'@CTA[8-2-1-1-5,F,#5]'+[1]!'@CTA[8-2-3-1-5,F,#5]'</f>
        <v>2776993.11</v>
      </c>
      <c r="E10" s="45">
        <f>[1]!'@CTA[8-2-5-1-5,J,#5]'</f>
        <v>643683.39</v>
      </c>
      <c r="F10" s="45">
        <f>[1]!'@CTA[8-2-7-1-5,F,#5]'</f>
        <v>599503.76999999979</v>
      </c>
      <c r="G10" s="11">
        <f t="shared" si="2"/>
        <v>2133309.7199999997</v>
      </c>
    </row>
    <row r="11" spans="1:7">
      <c r="A11" s="10" t="s">
        <v>15</v>
      </c>
      <c r="B11" s="45">
        <f>[1]!'@CTA[8-2-1-1-6,F,#5]'</f>
        <v>0</v>
      </c>
      <c r="C11" s="45">
        <f>[1]!'@CTA[8-2-3-1-6,F,#5]'</f>
        <v>0</v>
      </c>
      <c r="D11" s="45">
        <f>[1]!'@CTA[8-2-1-1-6,F,#5]'+[1]!'@CTA[8-2-3-1-6,F,#5]'</f>
        <v>0</v>
      </c>
      <c r="E11" s="45">
        <f>[1]!'@CTA[8-2-5-1-6,J,#5]'</f>
        <v>0</v>
      </c>
      <c r="F11" s="45">
        <f>[1]!'@CTA[8-2-7-1-6,F,#5]'</f>
        <v>0</v>
      </c>
      <c r="G11" s="11">
        <f t="shared" si="2"/>
        <v>0</v>
      </c>
    </row>
    <row r="12" spans="1:7">
      <c r="A12" s="10" t="s">
        <v>16</v>
      </c>
      <c r="B12" s="45">
        <f>[1]!'@CTA[8-2-1-1-7,F,#5]'</f>
        <v>0</v>
      </c>
      <c r="C12" s="45">
        <f>[1]!'@CTA[8-2-3-1-7,F,#5]'</f>
        <v>0</v>
      </c>
      <c r="D12" s="45">
        <f>[1]!'@CTA[8-2-1-1-7,F,#5]'+[1]!'@CTA[8-2-3-1-7,F,#5]'</f>
        <v>0</v>
      </c>
      <c r="E12" s="45">
        <f>[1]!'@CTA[8-2-5-1-7,J,#5]'</f>
        <v>0</v>
      </c>
      <c r="F12" s="45">
        <f>[1]!'@CTA[8-2-7-1-7,F,#5]'</f>
        <v>0</v>
      </c>
      <c r="G12" s="11">
        <f t="shared" si="2"/>
        <v>0</v>
      </c>
    </row>
    <row r="13" spans="1:7">
      <c r="A13" s="8" t="s">
        <v>17</v>
      </c>
      <c r="B13" s="9">
        <f>SUM(B14:B22)</f>
        <v>5576045</v>
      </c>
      <c r="C13" s="9">
        <f t="shared" ref="C13:F13" si="3">SUM(C14:C22)</f>
        <v>-3799.9000000000729</v>
      </c>
      <c r="D13" s="9">
        <f t="shared" si="3"/>
        <v>5572245.0999999996</v>
      </c>
      <c r="E13" s="9">
        <f t="shared" si="3"/>
        <v>1194469.52</v>
      </c>
      <c r="F13" s="9">
        <f t="shared" si="3"/>
        <v>1160788.810000001</v>
      </c>
      <c r="G13" s="9">
        <f t="shared" si="2"/>
        <v>4377775.58</v>
      </c>
    </row>
    <row r="14" spans="1:7">
      <c r="A14" s="10" t="s">
        <v>18</v>
      </c>
      <c r="B14" s="45">
        <f>[1]!'@CTA[8-2-1-2-1,F,#5]'</f>
        <v>379285</v>
      </c>
      <c r="C14" s="45">
        <f>[1]!'@CTA[8-2-3-2-1,F,#5]'</f>
        <v>6.0000000029103828E-2</v>
      </c>
      <c r="D14" s="45">
        <f>[1]!'@CTA[8-2-1-2-1,F,#5]'+[1]!'@CTA[8-2-3-2-1,F,#5]'</f>
        <v>379285.06000000006</v>
      </c>
      <c r="E14" s="45">
        <f>[1]!'@CTA[8-2-5-2-1,J,#5]'</f>
        <v>45147.75</v>
      </c>
      <c r="F14" s="45">
        <f>[1]!'@CTA[8-2-7-2-1,F,#5]'</f>
        <v>41368.419999999955</v>
      </c>
      <c r="G14" s="11">
        <f t="shared" si="2"/>
        <v>334137.31000000006</v>
      </c>
    </row>
    <row r="15" spans="1:7">
      <c r="A15" s="10" t="s">
        <v>19</v>
      </c>
      <c r="B15" s="45">
        <f>[1]!'@CTA[8-2-1-2-2,F,#5]'</f>
        <v>60744</v>
      </c>
      <c r="C15" s="45">
        <f>[1]!'@CTA[8-2-3-2-2,F,#5]'</f>
        <v>4.0000000007275958E-2</v>
      </c>
      <c r="D15" s="45">
        <f>[1]!'@CTA[8-2-1-2-2,F,#5]'+[1]!'@CTA[8-2-3-2-2,F,#5]'</f>
        <v>60744.040000000008</v>
      </c>
      <c r="E15" s="45">
        <f>[1]!'@CTA[8-2-5-2-2,J,#5]'</f>
        <v>16061.890000000001</v>
      </c>
      <c r="F15" s="45">
        <f>[1]!'@CTA[8-2-7-2-2,F,#5]'</f>
        <v>15528.889999999968</v>
      </c>
      <c r="G15" s="11">
        <f t="shared" si="2"/>
        <v>44682.150000000009</v>
      </c>
    </row>
    <row r="16" spans="1:7">
      <c r="A16" s="10" t="s">
        <v>20</v>
      </c>
      <c r="B16" s="45">
        <f>[1]!'@CTA[8-2-1-2-3,F,#5]'</f>
        <v>0</v>
      </c>
      <c r="C16" s="45">
        <f>[1]!'@CTA[8-2-3-2-3,F,#5]'</f>
        <v>0</v>
      </c>
      <c r="D16" s="45">
        <f>[1]!'@CTA[8-2-1-2-3,F,#5]'+[1]!'@CTA[8-2-3-2-3,F,#5]'</f>
        <v>0</v>
      </c>
      <c r="E16" s="45">
        <f>[1]!'@CTA[8-2-5-2-3,J,#5]'</f>
        <v>0</v>
      </c>
      <c r="F16" s="45">
        <f>[1]!'@CTA[8-2-7-2-3,F,#5]'</f>
        <v>0</v>
      </c>
      <c r="G16" s="11">
        <f t="shared" si="2"/>
        <v>0</v>
      </c>
    </row>
    <row r="17" spans="1:7">
      <c r="A17" s="10" t="s">
        <v>21</v>
      </c>
      <c r="B17" s="45">
        <f>[1]!'@CTA[8-2-1-2-4,F,#5]'</f>
        <v>3266572</v>
      </c>
      <c r="C17" s="45">
        <f>[1]!'@CTA[8-2-3-2-4,F,#5]'</f>
        <v>-3800</v>
      </c>
      <c r="D17" s="45">
        <f>[1]!'@CTA[8-2-1-2-4,F,#5]'+[1]!'@CTA[8-2-3-2-4,F,#5]'</f>
        <v>3262772</v>
      </c>
      <c r="E17" s="45">
        <f>[1]!'@CTA[8-2-5-2-4,J,#5]'</f>
        <v>677385.47</v>
      </c>
      <c r="F17" s="45">
        <f>[1]!'@CTA[8-2-7-2-4,F,#5]'</f>
        <v>672045.47000000125</v>
      </c>
      <c r="G17" s="11">
        <f t="shared" si="2"/>
        <v>2585386.5300000003</v>
      </c>
    </row>
    <row r="18" spans="1:7">
      <c r="A18" s="10" t="s">
        <v>22</v>
      </c>
      <c r="B18" s="45">
        <f>[1]!'@CTA[8-2-1-2-5,F,#5]'</f>
        <v>561905</v>
      </c>
      <c r="C18" s="45">
        <f>[1]!'@CTA[8-2-3-2-5,F,#5]'</f>
        <v>-8.7311491370201111E-11</v>
      </c>
      <c r="D18" s="45">
        <f>[1]!'@CTA[8-2-1-2-5,F,#5]'+[1]!'@CTA[8-2-3-2-5,F,#5]'</f>
        <v>561904.99999999988</v>
      </c>
      <c r="E18" s="45">
        <f>[1]!'@CTA[8-2-5-2-5,J,#5]'</f>
        <v>125237.51000000001</v>
      </c>
      <c r="F18" s="45">
        <f>[1]!'@CTA[8-2-7-2-5,F,#5]'</f>
        <v>125021.99999999988</v>
      </c>
      <c r="G18" s="11">
        <f t="shared" si="2"/>
        <v>436667.48999999987</v>
      </c>
    </row>
    <row r="19" spans="1:7">
      <c r="A19" s="10" t="s">
        <v>23</v>
      </c>
      <c r="B19" s="45">
        <f>[1]!'@CTA[8-2-1-2-6,F,#5]'</f>
        <v>747675</v>
      </c>
      <c r="C19" s="45">
        <f>[1]!'@CTA[8-2-3-2-6,F,#5]'</f>
        <v>0</v>
      </c>
      <c r="D19" s="45">
        <f>[1]!'@CTA[8-2-1-2-6,F,#5]'+[1]!'@CTA[8-2-3-2-6,F,#5]'</f>
        <v>747675</v>
      </c>
      <c r="E19" s="45">
        <f>[1]!'@CTA[8-2-5-2-6,J,#5]'</f>
        <v>177352.27000000002</v>
      </c>
      <c r="F19" s="45">
        <f>[1]!'@CTA[8-2-7-2-6,F,#5]'</f>
        <v>155146.61999999982</v>
      </c>
      <c r="G19" s="11">
        <f t="shared" si="2"/>
        <v>570322.73</v>
      </c>
    </row>
    <row r="20" spans="1:7">
      <c r="A20" s="10" t="s">
        <v>24</v>
      </c>
      <c r="B20" s="45">
        <f>[1]!'@CTA[8-2-1-2-7,F,#5]'</f>
        <v>424669</v>
      </c>
      <c r="C20" s="45">
        <f>[1]!'@CTA[8-2-3-2-7,F,#5]'</f>
        <v>-2.9103830456733704E-11</v>
      </c>
      <c r="D20" s="45">
        <f>[1]!'@CTA[8-2-1-2-7,F,#5]'+[1]!'@CTA[8-2-3-2-7,F,#5]'</f>
        <v>424669</v>
      </c>
      <c r="E20" s="45">
        <f>[1]!'@CTA[8-2-5-2-7,J,#5]'</f>
        <v>130730.80000000002</v>
      </c>
      <c r="F20" s="45">
        <f>[1]!'@CTA[8-2-7-2-7,F,#5]'</f>
        <v>130730.79999999999</v>
      </c>
      <c r="G20" s="11">
        <f t="shared" si="2"/>
        <v>293938.19999999995</v>
      </c>
    </row>
    <row r="21" spans="1:7">
      <c r="A21" s="10" t="s">
        <v>25</v>
      </c>
      <c r="B21" s="45">
        <f>[1]!'@CTA[8-2-1-2-8,F,#5]'</f>
        <v>0</v>
      </c>
      <c r="C21" s="45">
        <f>[1]!'@CTA[8-2-3-2-8,F,#5]'</f>
        <v>0</v>
      </c>
      <c r="D21" s="45">
        <f>[1]!'@CTA[8-2-1-2-8,F,#5]'+[1]!'@CTA[8-2-3-2-8,F,#5]'</f>
        <v>0</v>
      </c>
      <c r="E21" s="45">
        <f>[1]!'@CTA[8-2-5-2-8,J,#5]'</f>
        <v>0</v>
      </c>
      <c r="F21" s="45">
        <f>[1]!'@CTA[8-2-7-2-8,F,#5]'</f>
        <v>0</v>
      </c>
      <c r="G21" s="11">
        <f t="shared" si="2"/>
        <v>0</v>
      </c>
    </row>
    <row r="22" spans="1:7">
      <c r="A22" s="10" t="s">
        <v>26</v>
      </c>
      <c r="B22" s="45">
        <f>[1]!'@CTA[8-2-1-2-9,F,#5]'</f>
        <v>135195</v>
      </c>
      <c r="C22" s="45">
        <f>[1]!'@CTA[8-2-3-2-9,F,#5]'</f>
        <v>7.2759576141834259E-12</v>
      </c>
      <c r="D22" s="45">
        <f>[1]!'@CTA[8-2-1-2-9,F,#5]'+[1]!'@CTA[8-2-3-2-9,F,#5]'</f>
        <v>135195</v>
      </c>
      <c r="E22" s="45">
        <f>[1]!'@CTA[8-2-5-2-9,J,#5]'</f>
        <v>22553.83</v>
      </c>
      <c r="F22" s="45">
        <f>[1]!'@CTA[8-2-7-2-9,F,#5]'</f>
        <v>20946.610000000015</v>
      </c>
      <c r="G22" s="11">
        <f t="shared" si="2"/>
        <v>112641.17</v>
      </c>
    </row>
    <row r="23" spans="1:7">
      <c r="A23" s="8" t="s">
        <v>27</v>
      </c>
      <c r="B23" s="9">
        <f>SUM(B24:B32)</f>
        <v>15671932</v>
      </c>
      <c r="C23" s="9">
        <f t="shared" ref="C23:F23" si="4">SUM(C24:C32)</f>
        <v>352240.52000000159</v>
      </c>
      <c r="D23" s="9">
        <f t="shared" si="4"/>
        <v>16024172.520000001</v>
      </c>
      <c r="E23" s="9">
        <f t="shared" si="4"/>
        <v>4423897.8699999992</v>
      </c>
      <c r="F23" s="9">
        <f t="shared" si="4"/>
        <v>4101090.2899999986</v>
      </c>
      <c r="G23" s="9">
        <f t="shared" si="2"/>
        <v>11600274.650000002</v>
      </c>
    </row>
    <row r="24" spans="1:7">
      <c r="A24" s="10" t="s">
        <v>28</v>
      </c>
      <c r="B24" s="45">
        <f>[1]!'@CTA[8-2-1-3-1,F,#5]'</f>
        <v>6840651</v>
      </c>
      <c r="C24" s="45">
        <f>[1]!'@CTA[8-2-3-3-1,F,#5]'</f>
        <v>8508.4400000001751</v>
      </c>
      <c r="D24" s="45">
        <f>[1]!'@CTA[8-2-1-3-1,F,#5]'+[1]!'@CTA[8-2-3-3-1,F,#5]'</f>
        <v>6849159.4400000004</v>
      </c>
      <c r="E24" s="45">
        <f>[1]!'@CTA[8-2-5-3-1,J,#5]'</f>
        <v>2018472.0299999989</v>
      </c>
      <c r="F24" s="45">
        <f>[1]!'@CTA[8-2-7-3-1,F,#5]'</f>
        <v>1813066.9699999993</v>
      </c>
      <c r="G24" s="11">
        <f t="shared" si="2"/>
        <v>4830687.410000002</v>
      </c>
    </row>
    <row r="25" spans="1:7">
      <c r="A25" s="10" t="s">
        <v>29</v>
      </c>
      <c r="B25" s="45">
        <f>[1]!'@CTA[8-2-1-3-2,F,#5]'</f>
        <v>29200</v>
      </c>
      <c r="C25" s="45">
        <f>[1]!'@CTA[8-2-3-3-2,F,#5]'</f>
        <v>0</v>
      </c>
      <c r="D25" s="45">
        <f>[1]!'@CTA[8-2-1-3-2,F,#5]'+[1]!'@CTA[8-2-3-3-2,F,#5]'</f>
        <v>29200</v>
      </c>
      <c r="E25" s="45">
        <f>[1]!'@CTA[8-2-5-3-2,J,#5]'</f>
        <v>953.21000000000015</v>
      </c>
      <c r="F25" s="45">
        <f>[1]!'@CTA[8-2-7-3-2,F,#5]'</f>
        <v>953.21000000000458</v>
      </c>
      <c r="G25" s="11">
        <f t="shared" si="2"/>
        <v>28246.79</v>
      </c>
    </row>
    <row r="26" spans="1:7">
      <c r="A26" s="10" t="s">
        <v>30</v>
      </c>
      <c r="B26" s="45">
        <f>[1]!'@CTA[8-2-1-3-3,F,#5]'</f>
        <v>3277512</v>
      </c>
      <c r="C26" s="45">
        <f>[1]!'@CTA[8-2-3-3-3,F,#5]'+383287.08</f>
        <v>383287.08000000095</v>
      </c>
      <c r="D26" s="46">
        <f>[1]!'@CTA[8-2-1-3-3,F,#5]'+[1]!'@CTA[8-2-3-3-3,F,#5]'+383287.08</f>
        <v>3660799.080000001</v>
      </c>
      <c r="E26" s="45">
        <f>[1]!'@CTA[8-2-5-3-3,J,#5]'</f>
        <v>728096.87</v>
      </c>
      <c r="F26" s="45">
        <f>[1]!'@CTA[8-2-7-3-3,F,#5]'</f>
        <v>695313.15000000037</v>
      </c>
      <c r="G26" s="11">
        <f t="shared" si="2"/>
        <v>2932702.2100000009</v>
      </c>
    </row>
    <row r="27" spans="1:7">
      <c r="A27" s="10" t="s">
        <v>31</v>
      </c>
      <c r="B27" s="45">
        <f>[1]!'@CTA[8-2-1-3-4,F,#5]'</f>
        <v>549939</v>
      </c>
      <c r="C27" s="45">
        <f>[1]!'@CTA[8-2-3-3-4,F,#5]'</f>
        <v>-1.4551915228366852E-11</v>
      </c>
      <c r="D27" s="45">
        <f>[1]!'@CTA[8-2-1-3-4,F,#5]'+[1]!'@CTA[8-2-3-3-4,F,#5]'</f>
        <v>549939</v>
      </c>
      <c r="E27" s="45">
        <f>[1]!'@CTA[8-2-5-3-4,J,#5]'</f>
        <v>108898.89</v>
      </c>
      <c r="F27" s="45">
        <f>[1]!'@CTA[8-2-7-3-4,F,#5]'</f>
        <v>108885.10000000022</v>
      </c>
      <c r="G27" s="11">
        <f t="shared" si="2"/>
        <v>441040.11</v>
      </c>
    </row>
    <row r="28" spans="1:7">
      <c r="A28" s="10" t="s">
        <v>32</v>
      </c>
      <c r="B28" s="45">
        <f>[1]!'@CTA[8-2-1-3-5,F,#5]'</f>
        <v>2142328</v>
      </c>
      <c r="C28" s="45">
        <f>[1]!'@CTA[8-2-3-3-5,F,#5]'</f>
        <v>1.1641532182693481E-10</v>
      </c>
      <c r="D28" s="45">
        <f>[1]!'@CTA[8-2-1-3-5,F,#5]'+[1]!'@CTA[8-2-3-3-5,F,#5]'</f>
        <v>2142328</v>
      </c>
      <c r="E28" s="45">
        <f>[1]!'@CTA[8-2-5-3-5,J,#5]'</f>
        <v>975332.8899999999</v>
      </c>
      <c r="F28" s="45">
        <f>[1]!'@CTA[8-2-7-3-5,F,#5]'</f>
        <v>910610.4999999986</v>
      </c>
      <c r="G28" s="11">
        <f t="shared" si="2"/>
        <v>1166995.1100000001</v>
      </c>
    </row>
    <row r="29" spans="1:7">
      <c r="A29" s="10" t="s">
        <v>33</v>
      </c>
      <c r="B29" s="45">
        <f>[1]!'@CTA[8-2-1-3-6,F,#5]'</f>
        <v>151000</v>
      </c>
      <c r="C29" s="45">
        <f>[1]!'@CTA[8-2-3-3-6,F,#5]'</f>
        <v>-70586</v>
      </c>
      <c r="D29" s="45">
        <f>[1]!'@CTA[8-2-1-3-6,F,#5]'+[1]!'@CTA[8-2-3-3-6,F,#5]'</f>
        <v>80414</v>
      </c>
      <c r="E29" s="45">
        <f>[1]!'@CTA[8-2-5-3-6,J,#5]'</f>
        <v>15259.35</v>
      </c>
      <c r="F29" s="45">
        <f>[1]!'@CTA[8-2-7-3-6,F,#5]'</f>
        <v>15259.349999999979</v>
      </c>
      <c r="G29" s="11">
        <f t="shared" si="2"/>
        <v>65154.65</v>
      </c>
    </row>
    <row r="30" spans="1:7">
      <c r="A30" s="10" t="s">
        <v>34</v>
      </c>
      <c r="B30" s="45">
        <f>[1]!'@CTA[8-2-1-3-7,F,#5]'</f>
        <v>39600</v>
      </c>
      <c r="C30" s="45">
        <f>[1]!'@CTA[8-2-3-3-7,F,#5]'</f>
        <v>7.2759576141834259E-12</v>
      </c>
      <c r="D30" s="45">
        <f>[1]!'@CTA[8-2-1-3-7,F,#5]'+[1]!'@CTA[8-2-3-3-7,F,#5]'</f>
        <v>39600.000000000007</v>
      </c>
      <c r="E30" s="45">
        <f>[1]!'@CTA[8-2-5-3-7,J,#5]'</f>
        <v>1603.3700000000001</v>
      </c>
      <c r="F30" s="45">
        <f>[1]!'@CTA[8-2-7-3-7,F,#5]'</f>
        <v>1603.3700000000006</v>
      </c>
      <c r="G30" s="11">
        <f t="shared" si="2"/>
        <v>37996.630000000005</v>
      </c>
    </row>
    <row r="31" spans="1:7">
      <c r="A31" s="10" t="s">
        <v>35</v>
      </c>
      <c r="B31" s="45">
        <f>[1]!'@CTA[8-2-1-3-8,F,#5]'</f>
        <v>178000</v>
      </c>
      <c r="C31" s="45">
        <f>[1]!'@CTA[8-2-3-3-8,F,#5]'</f>
        <v>2.9103830456733704E-11</v>
      </c>
      <c r="D31" s="45">
        <f>[1]!'@CTA[8-2-1-3-8,F,#5]'+[1]!'@CTA[8-2-3-3-8,F,#5]'</f>
        <v>178000.00000000003</v>
      </c>
      <c r="E31" s="45">
        <f>[1]!'@CTA[8-2-5-3-8,J,#5]'</f>
        <v>41463.430000000008</v>
      </c>
      <c r="F31" s="45">
        <f>[1]!'@CTA[8-2-7-3-8,F,#5]'</f>
        <v>41463.430000000058</v>
      </c>
      <c r="G31" s="11">
        <f t="shared" si="2"/>
        <v>136536.57</v>
      </c>
    </row>
    <row r="32" spans="1:7">
      <c r="A32" s="10" t="s">
        <v>36</v>
      </c>
      <c r="B32" s="45">
        <f>[1]!'@CTA[8-2-1-3-9,F,#5]'</f>
        <v>2463702</v>
      </c>
      <c r="C32" s="45">
        <f>[1]!'@CTA[8-2-3-3-9,F,#5]'</f>
        <v>31031.000000000291</v>
      </c>
      <c r="D32" s="45">
        <f>[1]!'@CTA[8-2-1-3-9,F,#5]'+[1]!'@CTA[8-2-3-3-9,F,#5]'</f>
        <v>2494733.0000000005</v>
      </c>
      <c r="E32" s="45">
        <f>[1]!'@CTA[8-2-5-3-9,J,#5]'</f>
        <v>533817.82999999996</v>
      </c>
      <c r="F32" s="45">
        <f>[1]!'@CTA[8-2-7-3-9,F,#5]'</f>
        <v>513935.20999999996</v>
      </c>
      <c r="G32" s="11">
        <f t="shared" si="2"/>
        <v>1960915.1700000004</v>
      </c>
    </row>
    <row r="33" spans="1:7">
      <c r="A33" s="8" t="s">
        <v>37</v>
      </c>
      <c r="B33" s="9">
        <f>SUM(B34:B42)</f>
        <v>0</v>
      </c>
      <c r="C33" s="9">
        <f t="shared" ref="C33:F33" si="5">SUM(C34:C42)</f>
        <v>0</v>
      </c>
      <c r="D33" s="9">
        <f t="shared" si="5"/>
        <v>0</v>
      </c>
      <c r="E33" s="9">
        <f t="shared" si="5"/>
        <v>0</v>
      </c>
      <c r="F33" s="9">
        <f t="shared" si="5"/>
        <v>0</v>
      </c>
      <c r="G33" s="9">
        <f t="shared" si="2"/>
        <v>0</v>
      </c>
    </row>
    <row r="34" spans="1:7">
      <c r="A34" s="10" t="s">
        <v>38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f t="shared" si="2"/>
        <v>0</v>
      </c>
    </row>
    <row r="35" spans="1:7">
      <c r="A35" s="10" t="s">
        <v>39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f t="shared" si="2"/>
        <v>0</v>
      </c>
    </row>
    <row r="36" spans="1:7">
      <c r="A36" s="10" t="s">
        <v>40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f t="shared" si="2"/>
        <v>0</v>
      </c>
    </row>
    <row r="37" spans="1:7">
      <c r="A37" s="10" t="s">
        <v>41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f t="shared" si="2"/>
        <v>0</v>
      </c>
    </row>
    <row r="38" spans="1:7">
      <c r="A38" s="10" t="s">
        <v>42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f t="shared" si="2"/>
        <v>0</v>
      </c>
    </row>
    <row r="39" spans="1:7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f t="shared" si="2"/>
        <v>0</v>
      </c>
    </row>
    <row r="40" spans="1:7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f t="shared" si="2"/>
        <v>0</v>
      </c>
    </row>
    <row r="41" spans="1:7">
      <c r="A41" s="10" t="s">
        <v>45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f t="shared" si="2"/>
        <v>0</v>
      </c>
    </row>
    <row r="42" spans="1:7">
      <c r="A42" s="10" t="s">
        <v>46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f t="shared" si="2"/>
        <v>0</v>
      </c>
    </row>
    <row r="43" spans="1:7">
      <c r="A43" s="8" t="s">
        <v>47</v>
      </c>
      <c r="B43" s="9">
        <f>SUM(B44:B52)</f>
        <v>1407966</v>
      </c>
      <c r="C43" s="9">
        <f t="shared" ref="C43:F43" si="6">SUM(C44:C52)</f>
        <v>-6461.0000000005257</v>
      </c>
      <c r="D43" s="9">
        <f t="shared" si="6"/>
        <v>1401504.9999999995</v>
      </c>
      <c r="E43" s="9">
        <f t="shared" si="6"/>
        <v>55682.479999999996</v>
      </c>
      <c r="F43" s="9">
        <f t="shared" si="6"/>
        <v>55682.480000000098</v>
      </c>
      <c r="G43" s="9">
        <f t="shared" si="2"/>
        <v>1345822.5199999996</v>
      </c>
    </row>
    <row r="44" spans="1:7">
      <c r="A44" s="10" t="s">
        <v>48</v>
      </c>
      <c r="B44" s="45">
        <f>[1]!'@CTA[8-2-1-5-1,F,#5]'</f>
        <v>479757</v>
      </c>
      <c r="C44" s="45">
        <f>[1]!'@CTA[8-2-3-5-1,F,#5]'-77047</f>
        <v>-15730</v>
      </c>
      <c r="D44" s="46">
        <f>[1]!'@CTA[8-2-1-5-1,F,#5]'+[1]!'@CTA[8-2-3-5-1,F,#5]'-77047</f>
        <v>464027</v>
      </c>
      <c r="E44" s="45">
        <f>[1]!'@CTA[8-2-5-5-1,J,#5]'</f>
        <v>8864.64</v>
      </c>
      <c r="F44" s="45">
        <f>[1]!'@CTA[8-2-7-5-1,F,#5]'</f>
        <v>8864.6400000000867</v>
      </c>
      <c r="G44" s="11">
        <f t="shared" si="2"/>
        <v>455162.36</v>
      </c>
    </row>
    <row r="45" spans="1:7">
      <c r="A45" s="10" t="s">
        <v>49</v>
      </c>
      <c r="B45" s="45">
        <f>[1]!'@CTA[8-2-1-5-2,F,#5]'</f>
        <v>4400</v>
      </c>
      <c r="C45" s="45">
        <f>[1]!'@CTA[8-2-3-5-2,F,#5]'</f>
        <v>-1.8189894035458565E-12</v>
      </c>
      <c r="D45" s="45">
        <f>[1]!'@CTA[8-2-1-5-2,F,#5]'+[1]!'@CTA[8-2-3-5-2,F,#5]'</f>
        <v>4399.9999999999982</v>
      </c>
      <c r="E45" s="45">
        <f>[1]!'@CTA[8-2-5-5-2,J,#5]'</f>
        <v>24059.22</v>
      </c>
      <c r="F45" s="45">
        <f>[1]!'@CTA[8-2-7-5-2,F,#5]'</f>
        <v>24059.22</v>
      </c>
      <c r="G45" s="11">
        <f t="shared" si="2"/>
        <v>-19659.22</v>
      </c>
    </row>
    <row r="46" spans="1:7">
      <c r="A46" s="10" t="s">
        <v>50</v>
      </c>
      <c r="B46" s="45">
        <f>[1]!'@CTA[8-2-1-5-3,F,#5]'</f>
        <v>0</v>
      </c>
      <c r="C46" s="45">
        <f>[1]!'@CTA[8-2-3-5-3,F,#5]'</f>
        <v>0</v>
      </c>
      <c r="D46" s="45">
        <f>[1]!'@CTA[8-2-1-5-3,F,#5]'+[1]!'@CTA[8-2-3-5-3,F,#5]'</f>
        <v>0</v>
      </c>
      <c r="E46" s="45">
        <f>[1]!'@CTA[8-2-5-5-3,J,#5]'</f>
        <v>0</v>
      </c>
      <c r="F46" s="45">
        <f>[1]!'@CTA[8-2-7-5-3,F,#5]'</f>
        <v>0</v>
      </c>
      <c r="G46" s="11">
        <f t="shared" si="2"/>
        <v>0</v>
      </c>
    </row>
    <row r="47" spans="1:7">
      <c r="A47" s="10" t="s">
        <v>51</v>
      </c>
      <c r="B47" s="45">
        <f>[1]!'@CTA[8-2-1-5-4,F,#5]'</f>
        <v>23400</v>
      </c>
      <c r="C47" s="45">
        <f>[1]!'@CTA[8-2-3-5-4,F,#5]'</f>
        <v>0</v>
      </c>
      <c r="D47" s="45">
        <f>[1]!'@CTA[8-2-1-5-4,F,#5]'+[1]!'@CTA[8-2-3-5-4,F,#5]'</f>
        <v>23400</v>
      </c>
      <c r="E47" s="45">
        <f>[1]!'@CTA[8-2-5-5-4,J,#5]'</f>
        <v>22758.62</v>
      </c>
      <c r="F47" s="45">
        <f>[1]!'@CTA[8-2-7-5-4,F,#5]'</f>
        <v>22758.620000000003</v>
      </c>
      <c r="G47" s="11">
        <f t="shared" si="2"/>
        <v>641.38000000000102</v>
      </c>
    </row>
    <row r="48" spans="1:7">
      <c r="A48" s="10" t="s">
        <v>52</v>
      </c>
      <c r="B48" s="45">
        <f>[1]!'@CTA[8-2-1-5-5,F,#5]'</f>
        <v>0</v>
      </c>
      <c r="C48" s="45">
        <f>[1]!'@CTA[8-2-3-5-5,F,#5]'</f>
        <v>0</v>
      </c>
      <c r="D48" s="45">
        <f>[1]!'@CTA[8-2-1-5-5,F,#5]'+[1]!'@CTA[8-2-3-5-5,F,#5]'</f>
        <v>0</v>
      </c>
      <c r="E48" s="45">
        <f>[1]!'@CTA[8-2-5-5-5,J,#5]'</f>
        <v>0</v>
      </c>
      <c r="F48" s="45">
        <f>[1]!'@CTA[8-2-7-5-5,F,#5]'</f>
        <v>0</v>
      </c>
      <c r="G48" s="11">
        <f t="shared" si="2"/>
        <v>0</v>
      </c>
    </row>
    <row r="49" spans="1:7">
      <c r="A49" s="10" t="s">
        <v>53</v>
      </c>
      <c r="B49" s="45">
        <f>[1]!'@CTA[8-2-1-5-6,F,#5]'</f>
        <v>87891</v>
      </c>
      <c r="C49" s="45">
        <f>[1]!'@CTA[8-2-3-5-6,F,#5]'</f>
        <v>9268.9999999999418</v>
      </c>
      <c r="D49" s="45">
        <f>[1]!'@CTA[8-2-1-5-6,F,#5]'+[1]!'@CTA[8-2-3-5-6,F,#5]'</f>
        <v>97159.999999999942</v>
      </c>
      <c r="E49" s="45">
        <f>[1]!'@CTA[8-2-5-5-6,J,#5]'</f>
        <v>0</v>
      </c>
      <c r="F49" s="45">
        <f>[1]!'@CTA[8-2-7-5-6,F,#5]'</f>
        <v>0</v>
      </c>
      <c r="G49" s="11">
        <f t="shared" si="2"/>
        <v>97159.999999999942</v>
      </c>
    </row>
    <row r="50" spans="1:7">
      <c r="A50" s="10" t="s">
        <v>54</v>
      </c>
      <c r="B50" s="45">
        <f>[1]!'@CTA[8-2-1-5-7,F,#5]'</f>
        <v>0</v>
      </c>
      <c r="C50" s="45">
        <f>[1]!'@CTA[8-2-3-5-7,F,#5]'</f>
        <v>0</v>
      </c>
      <c r="D50" s="45">
        <f>[1]!'@CTA[8-2-1-5-7,F,#5]'+[1]!'@CTA[8-2-3-5-7,F,#5]'</f>
        <v>0</v>
      </c>
      <c r="E50" s="45">
        <f>[1]!'@CTA[8-2-5-5-7,J,#5]'</f>
        <v>0</v>
      </c>
      <c r="F50" s="45">
        <f>[1]!'@CTA[8-2-7-5-7,F,#5]'</f>
        <v>0</v>
      </c>
      <c r="G50" s="11">
        <f t="shared" si="2"/>
        <v>0</v>
      </c>
    </row>
    <row r="51" spans="1:7">
      <c r="A51" s="10" t="s">
        <v>55</v>
      </c>
      <c r="B51" s="45">
        <f>[1]!'@CTA[8-2-1-5-8,F,#5]'</f>
        <v>0</v>
      </c>
      <c r="C51" s="45">
        <f>[1]!'@CTA[8-2-3-5-8,F,#5]'</f>
        <v>0</v>
      </c>
      <c r="D51" s="45">
        <f>[1]!'@CTA[8-2-1-5-8,F,#5]'+[1]!'@CTA[8-2-3-5-8,F,#5]'</f>
        <v>0</v>
      </c>
      <c r="E51" s="45">
        <f>[1]!'@CTA[8-2-5-5-8,J,#5]'</f>
        <v>0</v>
      </c>
      <c r="F51" s="45">
        <f>[1]!'@CTA[8-2-7-5-8,F,#5]'</f>
        <v>0</v>
      </c>
      <c r="G51" s="11">
        <f t="shared" si="2"/>
        <v>0</v>
      </c>
    </row>
    <row r="52" spans="1:7">
      <c r="A52" s="10" t="s">
        <v>56</v>
      </c>
      <c r="B52" s="45">
        <f>[1]!'@CTA[8-2-1-5-9,F,#5]'</f>
        <v>812518</v>
      </c>
      <c r="C52" s="45">
        <f>[1]!'@CTA[8-2-3-5-9,F,#5]'</f>
        <v>-4.6566128730773926E-10</v>
      </c>
      <c r="D52" s="45">
        <f>[1]!'@CTA[8-2-1-5-9,F,#5]'+[1]!'@CTA[8-2-3-5-9,F,#5]'</f>
        <v>812517.99999999953</v>
      </c>
      <c r="E52" s="45">
        <f>[1]!'@CTA[8-2-5-5-9,J,#5]'</f>
        <v>0</v>
      </c>
      <c r="F52" s="45">
        <f>[1]!'@CTA[8-2-7-5-9,F,#5]'</f>
        <v>7.2759576141834259E-12</v>
      </c>
      <c r="G52" s="11">
        <f t="shared" si="2"/>
        <v>812517.99999999953</v>
      </c>
    </row>
    <row r="53" spans="1:7">
      <c r="A53" s="8" t="s">
        <v>57</v>
      </c>
      <c r="B53" s="9">
        <f>SUM(B54:B56)</f>
        <v>11790011</v>
      </c>
      <c r="C53" s="9">
        <f t="shared" ref="C53:F53" si="7">SUM(C54:C56)</f>
        <v>7403590.0100000016</v>
      </c>
      <c r="D53" s="9">
        <f t="shared" si="7"/>
        <v>19193601.010000002</v>
      </c>
      <c r="E53" s="9">
        <f t="shared" si="7"/>
        <v>2474305.5999999996</v>
      </c>
      <c r="F53" s="9">
        <f t="shared" si="7"/>
        <v>2474305.5999999996</v>
      </c>
      <c r="G53" s="9">
        <f t="shared" si="2"/>
        <v>16719295.410000002</v>
      </c>
    </row>
    <row r="54" spans="1:7">
      <c r="A54" s="10" t="s">
        <v>58</v>
      </c>
      <c r="B54" s="45">
        <f>[1]!'@CTA[8-2-1-6-1,F,#5]'</f>
        <v>11790011</v>
      </c>
      <c r="C54" s="45">
        <f>[1]!'@CTA[8-2-3-6-1,F,#5]'</f>
        <v>7403590.0100000016</v>
      </c>
      <c r="D54" s="45">
        <f>[1]!'@CTA[8-2-1-6-1,F,#5]'+[1]!'@CTA[8-2-3-6-1,F,#5]'</f>
        <v>19193601.010000002</v>
      </c>
      <c r="E54" s="45">
        <f>[1]!'@CTA[8-2-5-6-1,J,#5]'</f>
        <v>2474305.5999999996</v>
      </c>
      <c r="F54" s="45">
        <f>[1]!'@CTA[8-2-7-6-1,F,#5]'</f>
        <v>2474305.5999999996</v>
      </c>
      <c r="G54" s="11">
        <f t="shared" si="2"/>
        <v>16719295.410000002</v>
      </c>
    </row>
    <row r="55" spans="1:7">
      <c r="A55" s="10" t="s">
        <v>59</v>
      </c>
      <c r="B55" s="45">
        <f>[1]!'@CTA[8-2-1-6-2,F,#5]'</f>
        <v>0</v>
      </c>
      <c r="C55" s="45">
        <f>[1]!'@CTA[8-2-3-6-2,F,#5]'</f>
        <v>0</v>
      </c>
      <c r="D55" s="45">
        <f>[1]!'@CTA[8-2-1-6-2,F,#5]'+[1]!'@CTA[8-2-3-6-2,F,#5]'</f>
        <v>0</v>
      </c>
      <c r="E55" s="45">
        <f>[1]!'@CTA[8-2-5-6-2,J,#5]'</f>
        <v>0</v>
      </c>
      <c r="F55" s="45">
        <f>[1]!'@CTA[8-2-7-6-2,F,#5]'</f>
        <v>0</v>
      </c>
      <c r="G55" s="11">
        <f t="shared" si="2"/>
        <v>0</v>
      </c>
    </row>
    <row r="56" spans="1:7">
      <c r="A56" s="10" t="s">
        <v>60</v>
      </c>
      <c r="B56" s="45">
        <f>[1]!'@CTA[8-2-1-6-3,F,#5]'</f>
        <v>0</v>
      </c>
      <c r="C56" s="45">
        <f>[1]!'@CTA[8-2-3-6-3,F,#5]'</f>
        <v>0</v>
      </c>
      <c r="D56" s="45">
        <f>[1]!'@CTA[8-2-1-6-3,F,#5]'+[1]!'@CTA[8-2-3-6-3,F,#5]'</f>
        <v>0</v>
      </c>
      <c r="E56" s="45">
        <f>[1]!'@CTA[8-2-5-6-3,J,#5]'</f>
        <v>0</v>
      </c>
      <c r="F56" s="45">
        <f>[1]!'@CTA[8-2-7-6-3,F,#5]'</f>
        <v>0</v>
      </c>
      <c r="G56" s="11">
        <f t="shared" si="2"/>
        <v>0</v>
      </c>
    </row>
    <row r="57" spans="1:7">
      <c r="A57" s="8" t="s">
        <v>61</v>
      </c>
      <c r="B57" s="9">
        <f>SUM(B58:B65)</f>
        <v>0</v>
      </c>
      <c r="C57" s="9">
        <f t="shared" ref="C57:F57" si="8">SUM(C58:C65)</f>
        <v>0</v>
      </c>
      <c r="D57" s="9">
        <f t="shared" si="8"/>
        <v>0</v>
      </c>
      <c r="E57" s="9">
        <f t="shared" si="8"/>
        <v>0</v>
      </c>
      <c r="F57" s="9">
        <f t="shared" si="8"/>
        <v>0</v>
      </c>
      <c r="G57" s="9">
        <f t="shared" si="2"/>
        <v>0</v>
      </c>
    </row>
    <row r="58" spans="1:7">
      <c r="A58" s="10" t="s">
        <v>62</v>
      </c>
      <c r="B58" s="45">
        <f>[1]!'@CTA[8-2-1-7-1,F,#5]'</f>
        <v>0</v>
      </c>
      <c r="C58" s="45">
        <f>[1]!'@CTA[8-2-3-7-1,F,#5]'</f>
        <v>0</v>
      </c>
      <c r="D58" s="45">
        <f>[1]!'@CTA[8-2-1-7-1,F,#5]'+[1]!'@CTA[8-2-3-7-1,F,#5]'</f>
        <v>0</v>
      </c>
      <c r="E58" s="45">
        <f>[1]!'@CTA[8-2-5-7-1,J,#5]'</f>
        <v>0</v>
      </c>
      <c r="F58" s="45">
        <f>[1]!'@CTA[8-2-7-7-1,F,#5]'</f>
        <v>0</v>
      </c>
      <c r="G58" s="11">
        <f t="shared" si="2"/>
        <v>0</v>
      </c>
    </row>
    <row r="59" spans="1:7">
      <c r="A59" s="10" t="s">
        <v>63</v>
      </c>
      <c r="B59" s="45">
        <f>[1]!'@CTA[8-2-1-7-2,F,#5]'</f>
        <v>0</v>
      </c>
      <c r="C59" s="45">
        <f>[1]!'@CTA[8-2-3-7-2,F,#5]'</f>
        <v>0</v>
      </c>
      <c r="D59" s="45">
        <f>[1]!'@CTA[8-2-1-7-2,F,#5]'+[1]!'@CTA[8-2-3-7-2,F,#5]'</f>
        <v>0</v>
      </c>
      <c r="E59" s="45">
        <f>[1]!'@CTA[8-2-5-7-2,J,#5]'</f>
        <v>0</v>
      </c>
      <c r="F59" s="45">
        <f>[1]!'@CTA[8-2-7-7-2,F,#5]'</f>
        <v>0</v>
      </c>
      <c r="G59" s="11">
        <f t="shared" si="2"/>
        <v>0</v>
      </c>
    </row>
    <row r="60" spans="1:7">
      <c r="A60" s="10" t="s">
        <v>64</v>
      </c>
      <c r="B60" s="45">
        <f>[1]!'@CTA[8-2-1-7-3,F,#5]'</f>
        <v>0</v>
      </c>
      <c r="C60" s="45">
        <f>[1]!'@CTA[8-2-3-7-3,F,#5]'</f>
        <v>0</v>
      </c>
      <c r="D60" s="45">
        <f>[1]!'@CTA[8-2-1-7-3,F,#5]'+[1]!'@CTA[8-2-3-7-3,F,#5]'</f>
        <v>0</v>
      </c>
      <c r="E60" s="45">
        <f>[1]!'@CTA[8-2-5-7-3,J,#5]'</f>
        <v>0</v>
      </c>
      <c r="F60" s="45">
        <f>[1]!'@CTA[8-2-7-7-3,F,#5]'</f>
        <v>0</v>
      </c>
      <c r="G60" s="11">
        <f t="shared" si="2"/>
        <v>0</v>
      </c>
    </row>
    <row r="61" spans="1:7">
      <c r="A61" s="10" t="s">
        <v>65</v>
      </c>
      <c r="B61" s="45">
        <f>[1]!'@CTA[8-2-1-7-4,F,#5]'</f>
        <v>0</v>
      </c>
      <c r="C61" s="45">
        <f>[1]!'@CTA[8-2-3-7-4,F,#5]'</f>
        <v>0</v>
      </c>
      <c r="D61" s="45">
        <f>[1]!'@CTA[8-2-1-7-4,F,#5]'+[1]!'@CTA[8-2-3-7-4,F,#5]'</f>
        <v>0</v>
      </c>
      <c r="E61" s="45">
        <f>[1]!'@CTA[8-2-5-7-4,J,#5]'</f>
        <v>0</v>
      </c>
      <c r="F61" s="45">
        <f>[1]!'@CTA[8-2-7-7-4,F,#5]'</f>
        <v>0</v>
      </c>
      <c r="G61" s="11">
        <f t="shared" si="2"/>
        <v>0</v>
      </c>
    </row>
    <row r="62" spans="1:7">
      <c r="A62" s="10" t="s">
        <v>66</v>
      </c>
      <c r="B62" s="45">
        <f>[1]!'@CTA[8-2-1-7-5,F,#5]'</f>
        <v>0</v>
      </c>
      <c r="C62" s="45">
        <f>[1]!'@CTA[8-2-3-7-5,F,#5]'</f>
        <v>0</v>
      </c>
      <c r="D62" s="45">
        <f>[1]!'@CTA[8-2-1-7-5,F,#5]'+[1]!'@CTA[8-2-3-7-5,F,#5]'</f>
        <v>0</v>
      </c>
      <c r="E62" s="45">
        <f>[1]!'@CTA[8-2-5-7-5,J,#5]'</f>
        <v>0</v>
      </c>
      <c r="F62" s="45">
        <f>[1]!'@CTA[8-2-7-7-5,F,#5]'</f>
        <v>0</v>
      </c>
      <c r="G62" s="11">
        <f t="shared" si="2"/>
        <v>0</v>
      </c>
    </row>
    <row r="63" spans="1:7">
      <c r="A63" s="10" t="s">
        <v>67</v>
      </c>
      <c r="B63" s="45">
        <f>[1]!'@CTA[8-2-1-7-6,F,#5]'</f>
        <v>0</v>
      </c>
      <c r="C63" s="45">
        <f>[1]!'@CTA[8-2-3-7-6,F,#5]'</f>
        <v>0</v>
      </c>
      <c r="D63" s="45">
        <f>[1]!'@CTA[8-2-1-7-6,F,#5]'+[1]!'@CTA[8-2-3-7-6,F,#5]'</f>
        <v>0</v>
      </c>
      <c r="E63" s="45">
        <f>[1]!'@CTA[8-2-5-7-6,J,#5]'</f>
        <v>0</v>
      </c>
      <c r="F63" s="45">
        <f>[1]!'@CTA[8-2-7-7-6,F,#5]'</f>
        <v>0</v>
      </c>
      <c r="G63" s="11">
        <f t="shared" si="2"/>
        <v>0</v>
      </c>
    </row>
    <row r="64" spans="1:7">
      <c r="A64" s="10" t="s">
        <v>68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11">
        <f t="shared" si="2"/>
        <v>0</v>
      </c>
    </row>
    <row r="65" spans="1:7">
      <c r="A65" s="10" t="s">
        <v>69</v>
      </c>
      <c r="B65" s="45">
        <f>[1]!'@CTA[8-2-1-7-9,F,#5]'</f>
        <v>0</v>
      </c>
      <c r="C65" s="45">
        <f>[1]!'@CTA[8-2-3-7-9,F,#5]'</f>
        <v>0</v>
      </c>
      <c r="D65" s="45">
        <f>[1]!'@CTA[8-2-1-7-9,F,#5]'+[1]!'@CTA[8-2-3-7-9,F,#5]'</f>
        <v>0</v>
      </c>
      <c r="E65" s="45">
        <f>[1]!'@CTA[8-2-5-7-9,J,#5]'</f>
        <v>0</v>
      </c>
      <c r="F65" s="45">
        <f>[1]!'@CTA[8-2-7-7-9,F,#5]'</f>
        <v>0</v>
      </c>
      <c r="G65" s="11">
        <f t="shared" si="2"/>
        <v>0</v>
      </c>
    </row>
    <row r="66" spans="1:7">
      <c r="A66" s="8" t="s">
        <v>70</v>
      </c>
      <c r="B66" s="9">
        <f>SUM(B67:B69)</f>
        <v>0</v>
      </c>
      <c r="C66" s="9">
        <f t="shared" ref="C66:F66" si="9">SUM(C67:C69)</f>
        <v>0</v>
      </c>
      <c r="D66" s="9">
        <f t="shared" si="9"/>
        <v>0</v>
      </c>
      <c r="E66" s="9">
        <f t="shared" si="9"/>
        <v>0</v>
      </c>
      <c r="F66" s="9">
        <f t="shared" si="9"/>
        <v>0</v>
      </c>
      <c r="G66" s="9">
        <f t="shared" si="2"/>
        <v>0</v>
      </c>
    </row>
    <row r="67" spans="1:7">
      <c r="A67" s="10" t="s">
        <v>71</v>
      </c>
      <c r="B67" s="45">
        <f>[1]!'@CTA[8-2-1-8-1,F,#5]'</f>
        <v>0</v>
      </c>
      <c r="C67" s="45">
        <f>[1]!'@CTA[8-2-3-8-1,F,#5]'</f>
        <v>0</v>
      </c>
      <c r="D67" s="45">
        <f>[1]!'@CTA[8-2-1-8-1,F,#5]'+[1]!'@CTA[8-2-3-8-1,F,#5]'</f>
        <v>0</v>
      </c>
      <c r="E67" s="45">
        <f>[1]!'@CTA[8-2-5-8-1,J,#5]'</f>
        <v>0</v>
      </c>
      <c r="F67" s="45">
        <f>[1]!'@CTA[8-2-7-8-1,F,#5]'</f>
        <v>0</v>
      </c>
      <c r="G67" s="11">
        <f t="shared" si="2"/>
        <v>0</v>
      </c>
    </row>
    <row r="68" spans="1:7">
      <c r="A68" s="10" t="s">
        <v>72</v>
      </c>
      <c r="B68" s="45">
        <f>[1]!'@CTA[8-2-1-8-3,F,#5]'</f>
        <v>0</v>
      </c>
      <c r="C68" s="45">
        <f>[1]!'@CTA[8-2-3-8-3,F,#5]'</f>
        <v>0</v>
      </c>
      <c r="D68" s="45">
        <f>[1]!'@CTA[8-2-1-8-3,F,#5]'+[1]!'@CTA[8-2-3-8-3,F,#5]'</f>
        <v>0</v>
      </c>
      <c r="E68" s="45">
        <f>[1]!'@CTA[8-2-5-8-3,J,#5]'</f>
        <v>0</v>
      </c>
      <c r="F68" s="45">
        <f>[1]!'@CTA[8-2-7-8-3,F,#5]'</f>
        <v>0</v>
      </c>
      <c r="G68" s="11">
        <f t="shared" si="2"/>
        <v>0</v>
      </c>
    </row>
    <row r="69" spans="1:7">
      <c r="A69" s="10" t="s">
        <v>73</v>
      </c>
      <c r="B69" s="45">
        <f>[1]!'@CTA[8-2-1-8-5,F,#5]'</f>
        <v>0</v>
      </c>
      <c r="C69" s="45">
        <f>[1]!'@CTA[8-2-3-8-5,F,#5]'</f>
        <v>0</v>
      </c>
      <c r="D69" s="45">
        <f>[1]!'@CTA[8-2-1-8-5,F,#5]'+[1]!'@CTA[8-2-3-8-5,F,#5]'</f>
        <v>0</v>
      </c>
      <c r="E69" s="45">
        <f>[1]!'@CTA[8-2-5-8-5,J,#5]'</f>
        <v>0</v>
      </c>
      <c r="F69" s="45">
        <f>[1]!'@CTA[8-2-7-8-5,F,#5]'</f>
        <v>0</v>
      </c>
      <c r="G69" s="11">
        <f t="shared" si="2"/>
        <v>0</v>
      </c>
    </row>
    <row r="70" spans="1:7">
      <c r="A70" s="8" t="s">
        <v>74</v>
      </c>
      <c r="B70" s="9">
        <f>SUM(B71:B77)</f>
        <v>0</v>
      </c>
      <c r="C70" s="9">
        <f t="shared" ref="C70:F70" si="10">SUM(C71:C77)</f>
        <v>0</v>
      </c>
      <c r="D70" s="9">
        <f t="shared" si="10"/>
        <v>0</v>
      </c>
      <c r="E70" s="9">
        <f t="shared" si="10"/>
        <v>0</v>
      </c>
      <c r="F70" s="9">
        <f t="shared" si="10"/>
        <v>0</v>
      </c>
      <c r="G70" s="9">
        <f t="shared" si="2"/>
        <v>0</v>
      </c>
    </row>
    <row r="71" spans="1:7">
      <c r="A71" s="10" t="s">
        <v>75</v>
      </c>
      <c r="B71" s="45">
        <f>[1]!'@CTA[8-2-1-9-1,F,#5]'</f>
        <v>0</v>
      </c>
      <c r="C71" s="45">
        <f>[1]!'@CTA[8-2-3-9-1,F,#5]'</f>
        <v>0</v>
      </c>
      <c r="D71" s="45">
        <f>[1]!'@CTA[8-2-1-9-1,F,#5]'+[1]!'@CTA[8-2-3-9-1,F,#5]'</f>
        <v>0</v>
      </c>
      <c r="E71" s="45">
        <f>[1]!'@CTA[8-2-5-9-1,J,#5]'</f>
        <v>0</v>
      </c>
      <c r="F71" s="45">
        <f>[1]!'@CTA[8-2-7-9-1,F,#5]'</f>
        <v>0</v>
      </c>
      <c r="G71" s="11">
        <f t="shared" ref="G71:G77" si="11">D71-E71</f>
        <v>0</v>
      </c>
    </row>
    <row r="72" spans="1:7">
      <c r="A72" s="10" t="s">
        <v>76</v>
      </c>
      <c r="B72" s="45">
        <f>[1]!'@CTA[8-2-1-9-2,F,#5]'</f>
        <v>0</v>
      </c>
      <c r="C72" s="45">
        <f>[1]!'@CTA[8-2-3-9-2,F,#5]'</f>
        <v>0</v>
      </c>
      <c r="D72" s="45">
        <f>[1]!'@CTA[8-2-1-9-2,F,#5]'+[1]!'@CTA[8-2-3-9-2,F,#5]'</f>
        <v>0</v>
      </c>
      <c r="E72" s="45">
        <f>[1]!'@CTA[8-2-5-9-2,J,#5]'</f>
        <v>0</v>
      </c>
      <c r="F72" s="45">
        <f>[1]!'@CTA[8-2-7-9-2,F,#5]'</f>
        <v>0</v>
      </c>
      <c r="G72" s="11">
        <f t="shared" si="11"/>
        <v>0</v>
      </c>
    </row>
    <row r="73" spans="1:7">
      <c r="A73" s="10" t="s">
        <v>77</v>
      </c>
      <c r="B73" s="45">
        <f>[1]!'@CTA[8-2-1-9-3,F,#5]'</f>
        <v>0</v>
      </c>
      <c r="C73" s="45">
        <f>[1]!'@CTA[8-2-3-9-3,F,#5]'</f>
        <v>0</v>
      </c>
      <c r="D73" s="45">
        <f>[1]!'@CTA[8-2-1-9-3,F,#5]'+[1]!'@CTA[8-2-3-9-3,F,#5]'</f>
        <v>0</v>
      </c>
      <c r="E73" s="45">
        <f>[1]!'@CTA[8-2-5-9-3,J,#5]'</f>
        <v>0</v>
      </c>
      <c r="F73" s="45">
        <f>[1]!'@CTA[8-2-7-9-3,F,#5]'</f>
        <v>0</v>
      </c>
      <c r="G73" s="11">
        <f t="shared" si="11"/>
        <v>0</v>
      </c>
    </row>
    <row r="74" spans="1:7">
      <c r="A74" s="10" t="s">
        <v>78</v>
      </c>
      <c r="B74" s="45">
        <f>[1]!'@CTA[8-2-1-9-4,F,#5]'</f>
        <v>0</v>
      </c>
      <c r="C74" s="45">
        <f>[1]!'@CTA[8-2-3-9-4,F,#5]'</f>
        <v>0</v>
      </c>
      <c r="D74" s="45">
        <f>[1]!'@CTA[8-2-1-9-4,F,#5]'+[1]!'@CTA[8-2-3-9-4,F,#5]'</f>
        <v>0</v>
      </c>
      <c r="E74" s="45">
        <f>[1]!'@CTA[8-2-5-9-4,J,#5]'</f>
        <v>0</v>
      </c>
      <c r="F74" s="45">
        <f>[1]!'@CTA[8-2-7-9-4,F,#5]'</f>
        <v>0</v>
      </c>
      <c r="G74" s="11">
        <f t="shared" si="11"/>
        <v>0</v>
      </c>
    </row>
    <row r="75" spans="1:7">
      <c r="A75" s="10" t="s">
        <v>79</v>
      </c>
      <c r="B75" s="45">
        <f>[1]!'@CTA[8-2-1-9-5,F,#5]'</f>
        <v>0</v>
      </c>
      <c r="C75" s="45">
        <f>[1]!'@CTA[8-2-3-9-5,F,#5]'</f>
        <v>0</v>
      </c>
      <c r="D75" s="45">
        <f>[1]!'@CTA[8-2-1-9-5,F,#5]'+[1]!'@CTA[8-2-3-9-5,F,#5]'</f>
        <v>0</v>
      </c>
      <c r="E75" s="45">
        <f>[1]!'@CTA[8-2-5-9-5,J,#5]'</f>
        <v>0</v>
      </c>
      <c r="F75" s="45">
        <f>[1]!'@CTA[8-2-7-9-5,F,#5]'</f>
        <v>0</v>
      </c>
      <c r="G75" s="11">
        <f t="shared" si="11"/>
        <v>0</v>
      </c>
    </row>
    <row r="76" spans="1:7">
      <c r="A76" s="10" t="s">
        <v>80</v>
      </c>
      <c r="B76" s="45">
        <f>[1]!'@CTA[8-2-1-9-6,F,#5]'</f>
        <v>0</v>
      </c>
      <c r="C76" s="45">
        <f>[1]!'@CTA[8-2-3-9-6,F,#5]'</f>
        <v>0</v>
      </c>
      <c r="D76" s="45">
        <f>[1]!'@CTA[8-2-1-9-6,F,#5]'+[1]!'@CTA[8-2-3-9-6,F,#5]'</f>
        <v>0</v>
      </c>
      <c r="E76" s="45">
        <f>[1]!'@CTA[8-2-5-9-6,J,#5]'</f>
        <v>0</v>
      </c>
      <c r="F76" s="45">
        <f>[1]!'@CTA[8-2-7-9-6,F,#5]'</f>
        <v>0</v>
      </c>
      <c r="G76" s="11">
        <f t="shared" si="11"/>
        <v>0</v>
      </c>
    </row>
    <row r="77" spans="1:7">
      <c r="A77" s="10" t="s">
        <v>81</v>
      </c>
      <c r="B77" s="47">
        <f>[1]!'@CTA[8-2-1-9-9,F,#5]'</f>
        <v>0</v>
      </c>
      <c r="C77" s="47">
        <f>[1]!'@CTA[8-2-3-9-9,F,#5]'</f>
        <v>0</v>
      </c>
      <c r="D77" s="47">
        <f>[1]!'@CTA[8-2-1-9-9,F,#5]'+[1]!'@CTA[8-2-3-9-9,F,#5]'</f>
        <v>0</v>
      </c>
      <c r="E77" s="47">
        <f>[1]!'@CTA[8-2-5-9-9,J,#5]'</f>
        <v>0</v>
      </c>
      <c r="F77" s="47">
        <f>[1]!'@CTA[8-2-7-9-9,F,#5]'</f>
        <v>0</v>
      </c>
      <c r="G77" s="11">
        <f t="shared" si="11"/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82</v>
      </c>
      <c r="B79" s="13">
        <f>B80+B88+B98+B108+B118+B128+B132+B141+B145</f>
        <v>0</v>
      </c>
      <c r="C79" s="13">
        <f t="shared" ref="C79:G79" si="12">C80+C88+C98+C108+C118+C128+C132+C141+C145</f>
        <v>0</v>
      </c>
      <c r="D79" s="13">
        <f t="shared" si="12"/>
        <v>0</v>
      </c>
      <c r="E79" s="13">
        <f t="shared" si="12"/>
        <v>0</v>
      </c>
      <c r="F79" s="13">
        <f t="shared" si="12"/>
        <v>0</v>
      </c>
      <c r="G79" s="13">
        <f t="shared" si="12"/>
        <v>0</v>
      </c>
    </row>
    <row r="80" spans="1:7">
      <c r="A80" s="14" t="s">
        <v>9</v>
      </c>
      <c r="B80" s="13">
        <f>SUM(B81:B87)</f>
        <v>0</v>
      </c>
      <c r="C80" s="13">
        <f t="shared" ref="C80:G80" si="13">SUM(C81:C87)</f>
        <v>0</v>
      </c>
      <c r="D80" s="13">
        <f t="shared" si="13"/>
        <v>0</v>
      </c>
      <c r="E80" s="13">
        <f t="shared" si="13"/>
        <v>0</v>
      </c>
      <c r="F80" s="13">
        <f t="shared" si="13"/>
        <v>0</v>
      </c>
      <c r="G80" s="13">
        <f t="shared" si="13"/>
        <v>0</v>
      </c>
    </row>
    <row r="81" spans="1:7">
      <c r="A81" s="15" t="s">
        <v>10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f t="shared" ref="G81:G144" si="14">D81-E81</f>
        <v>0</v>
      </c>
    </row>
    <row r="82" spans="1:7">
      <c r="A82" s="15" t="s">
        <v>11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f t="shared" si="14"/>
        <v>0</v>
      </c>
    </row>
    <row r="83" spans="1:7">
      <c r="A83" s="15" t="s">
        <v>12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f t="shared" si="14"/>
        <v>0</v>
      </c>
    </row>
    <row r="84" spans="1:7">
      <c r="A84" s="15" t="s">
        <v>13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f t="shared" si="14"/>
        <v>0</v>
      </c>
    </row>
    <row r="85" spans="1:7">
      <c r="A85" s="15" t="s">
        <v>14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f t="shared" si="14"/>
        <v>0</v>
      </c>
    </row>
    <row r="86" spans="1:7">
      <c r="A86" s="15" t="s">
        <v>15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f t="shared" si="14"/>
        <v>0</v>
      </c>
    </row>
    <row r="87" spans="1:7">
      <c r="A87" s="15" t="s">
        <v>16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f t="shared" si="14"/>
        <v>0</v>
      </c>
    </row>
    <row r="88" spans="1:7">
      <c r="A88" s="14" t="s">
        <v>17</v>
      </c>
      <c r="B88" s="13">
        <f>SUM(B89:B97)</f>
        <v>0</v>
      </c>
      <c r="C88" s="13">
        <f t="shared" ref="C88:F88" si="15">SUM(C89:C97)</f>
        <v>0</v>
      </c>
      <c r="D88" s="13">
        <f t="shared" si="15"/>
        <v>0</v>
      </c>
      <c r="E88" s="13">
        <f t="shared" si="15"/>
        <v>0</v>
      </c>
      <c r="F88" s="13">
        <f t="shared" si="15"/>
        <v>0</v>
      </c>
      <c r="G88" s="13">
        <f t="shared" si="14"/>
        <v>0</v>
      </c>
    </row>
    <row r="89" spans="1:7">
      <c r="A89" s="15" t="s">
        <v>18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f t="shared" si="14"/>
        <v>0</v>
      </c>
    </row>
    <row r="90" spans="1:7">
      <c r="A90" s="15" t="s">
        <v>19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f t="shared" si="14"/>
        <v>0</v>
      </c>
    </row>
    <row r="91" spans="1:7">
      <c r="A91" s="15" t="s">
        <v>20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f t="shared" si="14"/>
        <v>0</v>
      </c>
    </row>
    <row r="92" spans="1:7">
      <c r="A92" s="15" t="s">
        <v>21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f t="shared" si="14"/>
        <v>0</v>
      </c>
    </row>
    <row r="93" spans="1:7">
      <c r="A93" s="15" t="s">
        <v>22</v>
      </c>
      <c r="B93" s="16">
        <v>0</v>
      </c>
      <c r="C93" s="16">
        <v>0</v>
      </c>
      <c r="D93" s="16">
        <v>0</v>
      </c>
      <c r="E93" s="16">
        <v>0</v>
      </c>
      <c r="F93" s="16">
        <v>0</v>
      </c>
      <c r="G93" s="16">
        <f t="shared" si="14"/>
        <v>0</v>
      </c>
    </row>
    <row r="94" spans="1:7">
      <c r="A94" s="15" t="s">
        <v>23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f t="shared" si="14"/>
        <v>0</v>
      </c>
    </row>
    <row r="95" spans="1:7">
      <c r="A95" s="15" t="s">
        <v>24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f t="shared" si="14"/>
        <v>0</v>
      </c>
    </row>
    <row r="96" spans="1:7">
      <c r="A96" s="15" t="s">
        <v>25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f t="shared" si="14"/>
        <v>0</v>
      </c>
    </row>
    <row r="97" spans="1:7">
      <c r="A97" s="15" t="s">
        <v>26</v>
      </c>
      <c r="B97" s="16">
        <v>0</v>
      </c>
      <c r="C97" s="16">
        <v>0</v>
      </c>
      <c r="D97" s="16">
        <v>0</v>
      </c>
      <c r="E97" s="16">
        <v>0</v>
      </c>
      <c r="F97" s="16">
        <v>0</v>
      </c>
      <c r="G97" s="16">
        <f t="shared" si="14"/>
        <v>0</v>
      </c>
    </row>
    <row r="98" spans="1:7">
      <c r="A98" s="14" t="s">
        <v>27</v>
      </c>
      <c r="B98" s="13">
        <f>SUM(B99:B107)</f>
        <v>0</v>
      </c>
      <c r="C98" s="13">
        <f t="shared" ref="C98:F98" si="16">SUM(C99:C107)</f>
        <v>0</v>
      </c>
      <c r="D98" s="13">
        <f t="shared" si="16"/>
        <v>0</v>
      </c>
      <c r="E98" s="13">
        <f t="shared" si="16"/>
        <v>0</v>
      </c>
      <c r="F98" s="13">
        <f t="shared" si="16"/>
        <v>0</v>
      </c>
      <c r="G98" s="13">
        <f t="shared" si="14"/>
        <v>0</v>
      </c>
    </row>
    <row r="99" spans="1:7">
      <c r="A99" s="15" t="s">
        <v>28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f t="shared" si="14"/>
        <v>0</v>
      </c>
    </row>
    <row r="100" spans="1:7">
      <c r="A100" s="15" t="s">
        <v>29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6">
        <f t="shared" si="14"/>
        <v>0</v>
      </c>
    </row>
    <row r="101" spans="1:7">
      <c r="A101" s="15" t="s">
        <v>30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f t="shared" si="14"/>
        <v>0</v>
      </c>
    </row>
    <row r="102" spans="1:7">
      <c r="A102" s="15" t="s">
        <v>31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  <c r="G102" s="16">
        <f t="shared" si="14"/>
        <v>0</v>
      </c>
    </row>
    <row r="103" spans="1:7">
      <c r="A103" s="15" t="s">
        <v>32</v>
      </c>
      <c r="B103" s="16">
        <v>0</v>
      </c>
      <c r="C103" s="16">
        <v>0</v>
      </c>
      <c r="D103" s="16">
        <v>0</v>
      </c>
      <c r="E103" s="16">
        <v>0</v>
      </c>
      <c r="F103" s="16">
        <v>0</v>
      </c>
      <c r="G103" s="16">
        <f t="shared" si="14"/>
        <v>0</v>
      </c>
    </row>
    <row r="104" spans="1:7">
      <c r="A104" s="15" t="s">
        <v>33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f t="shared" si="14"/>
        <v>0</v>
      </c>
    </row>
    <row r="105" spans="1:7">
      <c r="A105" s="15" t="s">
        <v>34</v>
      </c>
      <c r="B105" s="16">
        <v>0</v>
      </c>
      <c r="C105" s="16">
        <v>0</v>
      </c>
      <c r="D105" s="16">
        <v>0</v>
      </c>
      <c r="E105" s="16">
        <v>0</v>
      </c>
      <c r="F105" s="16">
        <v>0</v>
      </c>
      <c r="G105" s="16">
        <f t="shared" si="14"/>
        <v>0</v>
      </c>
    </row>
    <row r="106" spans="1:7">
      <c r="A106" s="15" t="s">
        <v>35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f t="shared" si="14"/>
        <v>0</v>
      </c>
    </row>
    <row r="107" spans="1:7">
      <c r="A107" s="15" t="s">
        <v>36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f t="shared" si="14"/>
        <v>0</v>
      </c>
    </row>
    <row r="108" spans="1:7">
      <c r="A108" s="14" t="s">
        <v>37</v>
      </c>
      <c r="B108" s="13">
        <f>SUM(B109:B117)</f>
        <v>0</v>
      </c>
      <c r="C108" s="13">
        <f t="shared" ref="C108:F108" si="17">SUM(C109:C117)</f>
        <v>0</v>
      </c>
      <c r="D108" s="13">
        <f t="shared" si="17"/>
        <v>0</v>
      </c>
      <c r="E108" s="13">
        <f t="shared" si="17"/>
        <v>0</v>
      </c>
      <c r="F108" s="13">
        <f t="shared" si="17"/>
        <v>0</v>
      </c>
      <c r="G108" s="13">
        <f t="shared" si="14"/>
        <v>0</v>
      </c>
    </row>
    <row r="109" spans="1:7">
      <c r="A109" s="15" t="s">
        <v>38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f t="shared" si="14"/>
        <v>0</v>
      </c>
    </row>
    <row r="110" spans="1:7">
      <c r="A110" s="15" t="s">
        <v>39</v>
      </c>
      <c r="B110" s="16">
        <v>0</v>
      </c>
      <c r="C110" s="16">
        <v>0</v>
      </c>
      <c r="D110" s="16">
        <v>0</v>
      </c>
      <c r="E110" s="16">
        <v>0</v>
      </c>
      <c r="F110" s="16">
        <v>0</v>
      </c>
      <c r="G110" s="16">
        <f t="shared" si="14"/>
        <v>0</v>
      </c>
    </row>
    <row r="111" spans="1:7">
      <c r="A111" s="15" t="s">
        <v>40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f t="shared" si="14"/>
        <v>0</v>
      </c>
    </row>
    <row r="112" spans="1:7">
      <c r="A112" s="15" t="s">
        <v>41</v>
      </c>
      <c r="B112" s="16">
        <v>0</v>
      </c>
      <c r="C112" s="16">
        <v>0</v>
      </c>
      <c r="D112" s="16">
        <v>0</v>
      </c>
      <c r="E112" s="16">
        <v>0</v>
      </c>
      <c r="F112" s="16">
        <v>0</v>
      </c>
      <c r="G112" s="16">
        <f t="shared" si="14"/>
        <v>0</v>
      </c>
    </row>
    <row r="113" spans="1:7">
      <c r="A113" s="15" t="s">
        <v>42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f t="shared" si="14"/>
        <v>0</v>
      </c>
    </row>
    <row r="114" spans="1:7">
      <c r="A114" s="15" t="s">
        <v>43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f t="shared" si="14"/>
        <v>0</v>
      </c>
    </row>
    <row r="115" spans="1:7">
      <c r="A115" s="15" t="s">
        <v>44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f t="shared" si="14"/>
        <v>0</v>
      </c>
    </row>
    <row r="116" spans="1:7">
      <c r="A116" s="15" t="s">
        <v>45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f t="shared" si="14"/>
        <v>0</v>
      </c>
    </row>
    <row r="117" spans="1:7">
      <c r="A117" s="15" t="s">
        <v>46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f t="shared" si="14"/>
        <v>0</v>
      </c>
    </row>
    <row r="118" spans="1:7">
      <c r="A118" s="14" t="s">
        <v>47</v>
      </c>
      <c r="B118" s="13">
        <f>SUM(B119:B127)</f>
        <v>0</v>
      </c>
      <c r="C118" s="13">
        <f t="shared" ref="C118:F118" si="18">SUM(C119:C127)</f>
        <v>0</v>
      </c>
      <c r="D118" s="13">
        <f t="shared" si="18"/>
        <v>0</v>
      </c>
      <c r="E118" s="13">
        <f t="shared" si="18"/>
        <v>0</v>
      </c>
      <c r="F118" s="13">
        <f t="shared" si="18"/>
        <v>0</v>
      </c>
      <c r="G118" s="13">
        <f t="shared" si="14"/>
        <v>0</v>
      </c>
    </row>
    <row r="119" spans="1:7">
      <c r="A119" s="15" t="s">
        <v>48</v>
      </c>
      <c r="B119" s="16">
        <v>0</v>
      </c>
      <c r="C119" s="16">
        <v>0</v>
      </c>
      <c r="D119" s="16">
        <v>0</v>
      </c>
      <c r="E119" s="16">
        <v>0</v>
      </c>
      <c r="F119" s="16">
        <v>0</v>
      </c>
      <c r="G119" s="16">
        <f t="shared" si="14"/>
        <v>0</v>
      </c>
    </row>
    <row r="120" spans="1:7">
      <c r="A120" s="15" t="s">
        <v>49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f t="shared" si="14"/>
        <v>0</v>
      </c>
    </row>
    <row r="121" spans="1:7">
      <c r="A121" s="15" t="s">
        <v>50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f t="shared" si="14"/>
        <v>0</v>
      </c>
    </row>
    <row r="122" spans="1:7">
      <c r="A122" s="15" t="s">
        <v>51</v>
      </c>
      <c r="B122" s="16">
        <v>0</v>
      </c>
      <c r="C122" s="16">
        <v>0</v>
      </c>
      <c r="D122" s="16">
        <v>0</v>
      </c>
      <c r="E122" s="16">
        <v>0</v>
      </c>
      <c r="F122" s="16">
        <v>0</v>
      </c>
      <c r="G122" s="16">
        <f t="shared" si="14"/>
        <v>0</v>
      </c>
    </row>
    <row r="123" spans="1:7">
      <c r="A123" s="15" t="s">
        <v>52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f t="shared" si="14"/>
        <v>0</v>
      </c>
    </row>
    <row r="124" spans="1:7">
      <c r="A124" s="15" t="s">
        <v>53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f t="shared" si="14"/>
        <v>0</v>
      </c>
    </row>
    <row r="125" spans="1:7">
      <c r="A125" s="15" t="s">
        <v>54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f t="shared" si="14"/>
        <v>0</v>
      </c>
    </row>
    <row r="126" spans="1:7">
      <c r="A126" s="15" t="s">
        <v>55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f t="shared" si="14"/>
        <v>0</v>
      </c>
    </row>
    <row r="127" spans="1:7">
      <c r="A127" s="15" t="s">
        <v>56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f t="shared" si="14"/>
        <v>0</v>
      </c>
    </row>
    <row r="128" spans="1:7">
      <c r="A128" s="14" t="s">
        <v>57</v>
      </c>
      <c r="B128" s="13">
        <f>SUM(B129:B131)</f>
        <v>0</v>
      </c>
      <c r="C128" s="13">
        <f t="shared" ref="C128:F128" si="19">SUM(C129:C131)</f>
        <v>0</v>
      </c>
      <c r="D128" s="13">
        <f t="shared" si="19"/>
        <v>0</v>
      </c>
      <c r="E128" s="13">
        <f t="shared" si="19"/>
        <v>0</v>
      </c>
      <c r="F128" s="13">
        <f t="shared" si="19"/>
        <v>0</v>
      </c>
      <c r="G128" s="13">
        <f t="shared" si="14"/>
        <v>0</v>
      </c>
    </row>
    <row r="129" spans="1:7">
      <c r="A129" s="15" t="s">
        <v>58</v>
      </c>
      <c r="B129" s="16">
        <v>0</v>
      </c>
      <c r="C129" s="16">
        <v>0</v>
      </c>
      <c r="D129" s="16">
        <v>0</v>
      </c>
      <c r="E129" s="16">
        <v>0</v>
      </c>
      <c r="F129" s="16">
        <v>0</v>
      </c>
      <c r="G129" s="16">
        <f t="shared" si="14"/>
        <v>0</v>
      </c>
    </row>
    <row r="130" spans="1:7">
      <c r="A130" s="15" t="s">
        <v>59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f t="shared" si="14"/>
        <v>0</v>
      </c>
    </row>
    <row r="131" spans="1:7">
      <c r="A131" s="15" t="s">
        <v>60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f t="shared" si="14"/>
        <v>0</v>
      </c>
    </row>
    <row r="132" spans="1:7">
      <c r="A132" s="14" t="s">
        <v>61</v>
      </c>
      <c r="B132" s="13">
        <f>SUM(B133:B140)</f>
        <v>0</v>
      </c>
      <c r="C132" s="13">
        <f t="shared" ref="C132:F132" si="20">SUM(C133:C140)</f>
        <v>0</v>
      </c>
      <c r="D132" s="13">
        <f t="shared" si="20"/>
        <v>0</v>
      </c>
      <c r="E132" s="13">
        <f t="shared" si="20"/>
        <v>0</v>
      </c>
      <c r="F132" s="13">
        <f t="shared" si="20"/>
        <v>0</v>
      </c>
      <c r="G132" s="13">
        <f t="shared" si="14"/>
        <v>0</v>
      </c>
    </row>
    <row r="133" spans="1:7">
      <c r="A133" s="15" t="s">
        <v>62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6">
        <f t="shared" si="14"/>
        <v>0</v>
      </c>
    </row>
    <row r="134" spans="1:7">
      <c r="A134" s="15" t="s">
        <v>63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f t="shared" si="14"/>
        <v>0</v>
      </c>
    </row>
    <row r="135" spans="1:7">
      <c r="A135" s="15" t="s">
        <v>64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f t="shared" si="14"/>
        <v>0</v>
      </c>
    </row>
    <row r="136" spans="1:7">
      <c r="A136" s="15" t="s">
        <v>65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f t="shared" si="14"/>
        <v>0</v>
      </c>
    </row>
    <row r="137" spans="1:7">
      <c r="A137" s="15" t="s">
        <v>66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f t="shared" si="14"/>
        <v>0</v>
      </c>
    </row>
    <row r="138" spans="1:7">
      <c r="A138" s="15" t="s">
        <v>67</v>
      </c>
      <c r="B138" s="16">
        <v>0</v>
      </c>
      <c r="C138" s="16">
        <v>0</v>
      </c>
      <c r="D138" s="16">
        <v>0</v>
      </c>
      <c r="E138" s="16">
        <v>0</v>
      </c>
      <c r="F138" s="16">
        <v>0</v>
      </c>
      <c r="G138" s="16">
        <f t="shared" si="14"/>
        <v>0</v>
      </c>
    </row>
    <row r="139" spans="1:7">
      <c r="A139" s="15" t="s">
        <v>68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f t="shared" si="14"/>
        <v>0</v>
      </c>
    </row>
    <row r="140" spans="1:7">
      <c r="A140" s="15" t="s">
        <v>69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f t="shared" si="14"/>
        <v>0</v>
      </c>
    </row>
    <row r="141" spans="1:7">
      <c r="A141" s="14" t="s">
        <v>70</v>
      </c>
      <c r="B141" s="13">
        <f>SUM(B142:B144)</f>
        <v>0</v>
      </c>
      <c r="C141" s="13">
        <f t="shared" ref="C141:F141" si="21">SUM(C142:C144)</f>
        <v>0</v>
      </c>
      <c r="D141" s="13">
        <f t="shared" si="21"/>
        <v>0</v>
      </c>
      <c r="E141" s="13">
        <f t="shared" si="21"/>
        <v>0</v>
      </c>
      <c r="F141" s="13">
        <f t="shared" si="21"/>
        <v>0</v>
      </c>
      <c r="G141" s="13">
        <f t="shared" si="14"/>
        <v>0</v>
      </c>
    </row>
    <row r="142" spans="1:7">
      <c r="A142" s="15" t="s">
        <v>71</v>
      </c>
      <c r="B142" s="16">
        <v>0</v>
      </c>
      <c r="C142" s="16">
        <v>0</v>
      </c>
      <c r="D142" s="16">
        <v>0</v>
      </c>
      <c r="E142" s="16">
        <v>0</v>
      </c>
      <c r="F142" s="16">
        <v>0</v>
      </c>
      <c r="G142" s="16">
        <f t="shared" si="14"/>
        <v>0</v>
      </c>
    </row>
    <row r="143" spans="1:7">
      <c r="A143" s="15" t="s">
        <v>72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f t="shared" si="14"/>
        <v>0</v>
      </c>
    </row>
    <row r="144" spans="1:7">
      <c r="A144" s="15" t="s">
        <v>73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f t="shared" si="14"/>
        <v>0</v>
      </c>
    </row>
    <row r="145" spans="1:7">
      <c r="A145" s="14" t="s">
        <v>74</v>
      </c>
      <c r="B145" s="13">
        <f>SUM(B146:B152)</f>
        <v>0</v>
      </c>
      <c r="C145" s="13">
        <f t="shared" ref="C145:F145" si="22">SUM(C146:C152)</f>
        <v>0</v>
      </c>
      <c r="D145" s="13">
        <f t="shared" si="22"/>
        <v>0</v>
      </c>
      <c r="E145" s="13">
        <f t="shared" si="22"/>
        <v>0</v>
      </c>
      <c r="F145" s="13">
        <f t="shared" si="22"/>
        <v>0</v>
      </c>
      <c r="G145" s="13">
        <f t="shared" ref="G145:G152" si="23">D145-E145</f>
        <v>0</v>
      </c>
    </row>
    <row r="146" spans="1:7">
      <c r="A146" s="15" t="s">
        <v>75</v>
      </c>
      <c r="B146" s="16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f t="shared" si="23"/>
        <v>0</v>
      </c>
    </row>
    <row r="147" spans="1:7">
      <c r="A147" s="15" t="s">
        <v>76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f t="shared" si="23"/>
        <v>0</v>
      </c>
    </row>
    <row r="148" spans="1:7">
      <c r="A148" s="15" t="s">
        <v>77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f t="shared" si="23"/>
        <v>0</v>
      </c>
    </row>
    <row r="149" spans="1:7">
      <c r="A149" s="15" t="s">
        <v>78</v>
      </c>
      <c r="B149" s="16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f t="shared" si="23"/>
        <v>0</v>
      </c>
    </row>
    <row r="150" spans="1:7">
      <c r="A150" s="15" t="s">
        <v>79</v>
      </c>
      <c r="B150" s="16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f t="shared" si="23"/>
        <v>0</v>
      </c>
    </row>
    <row r="151" spans="1:7">
      <c r="A151" s="15" t="s">
        <v>80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f t="shared" si="23"/>
        <v>0</v>
      </c>
    </row>
    <row r="152" spans="1:7">
      <c r="A152" s="15" t="s">
        <v>81</v>
      </c>
      <c r="B152" s="16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f t="shared" si="23"/>
        <v>0</v>
      </c>
    </row>
    <row r="153" spans="1:7" ht="5.0999999999999996" customHeight="1">
      <c r="A153" s="14"/>
      <c r="B153" s="16"/>
      <c r="C153" s="16"/>
      <c r="D153" s="16"/>
      <c r="E153" s="16"/>
      <c r="F153" s="16"/>
      <c r="G153" s="16"/>
    </row>
    <row r="154" spans="1:7">
      <c r="A154" s="12" t="s">
        <v>83</v>
      </c>
      <c r="B154" s="13">
        <f>B4+B79</f>
        <v>52030352</v>
      </c>
      <c r="C154" s="13">
        <f t="shared" ref="C154:G154" si="24">C4+C79</f>
        <v>8322710.2300000032</v>
      </c>
      <c r="D154" s="13">
        <f t="shared" si="24"/>
        <v>60353062.230000004</v>
      </c>
      <c r="E154" s="13">
        <f t="shared" si="24"/>
        <v>12063354.279999999</v>
      </c>
      <c r="F154" s="13">
        <f t="shared" si="24"/>
        <v>11383666.389999997</v>
      </c>
      <c r="G154" s="13">
        <f t="shared" si="24"/>
        <v>48289707.950000003</v>
      </c>
    </row>
    <row r="155" spans="1:7" ht="5.0999999999999996" customHeight="1">
      <c r="A155" s="17"/>
      <c r="B155" s="18"/>
      <c r="C155" s="18"/>
      <c r="D155" s="18"/>
      <c r="E155" s="18"/>
      <c r="F155" s="18"/>
      <c r="G155" s="18"/>
    </row>
    <row r="159" spans="1:7">
      <c r="A159" s="19"/>
      <c r="B159" s="51"/>
      <c r="C159" s="52"/>
      <c r="D159" s="52"/>
      <c r="E159" s="19"/>
    </row>
    <row r="160" spans="1:7">
      <c r="A160" s="53"/>
      <c r="B160" s="54"/>
      <c r="C160" s="55" t="s">
        <v>151</v>
      </c>
      <c r="D160" s="56"/>
      <c r="E160" s="19"/>
    </row>
    <row r="161" spans="1:5">
      <c r="A161" s="53"/>
      <c r="B161" s="54"/>
      <c r="C161" s="57"/>
      <c r="D161" s="56"/>
      <c r="E161" s="19"/>
    </row>
    <row r="162" spans="1:5">
      <c r="A162" s="53"/>
      <c r="B162" s="54"/>
      <c r="C162" s="57"/>
      <c r="D162" s="56"/>
      <c r="E162" s="19"/>
    </row>
    <row r="163" spans="1:5">
      <c r="A163" s="53"/>
      <c r="B163" s="54"/>
      <c r="C163" s="58"/>
      <c r="D163" s="59"/>
      <c r="E163" s="19"/>
    </row>
    <row r="164" spans="1:5">
      <c r="A164" s="53"/>
      <c r="B164" s="54"/>
      <c r="C164" s="60" t="s">
        <v>152</v>
      </c>
      <c r="D164" s="56"/>
      <c r="E164" s="19"/>
    </row>
    <row r="165" spans="1:5">
      <c r="A165" s="53"/>
      <c r="B165" s="54"/>
      <c r="C165" s="60" t="s">
        <v>153</v>
      </c>
      <c r="D165" s="56"/>
      <c r="E165" s="19"/>
    </row>
    <row r="166" spans="1:5">
      <c r="A166" s="53"/>
      <c r="B166" s="54"/>
      <c r="C166" s="57"/>
      <c r="D166" s="56"/>
      <c r="E166" s="19"/>
    </row>
    <row r="167" spans="1:5">
      <c r="A167" s="19"/>
      <c r="B167" s="51"/>
      <c r="C167" s="52"/>
      <c r="D167" s="52"/>
      <c r="E167" s="19"/>
    </row>
    <row r="168" spans="1:5">
      <c r="A168" s="19"/>
      <c r="B168" s="19"/>
      <c r="C168" s="19"/>
      <c r="D168" s="19"/>
      <c r="E168" s="19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71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workbookViewId="0">
      <selection activeCell="D14" sqref="D14"/>
    </sheetView>
  </sheetViews>
  <sheetFormatPr baseColWidth="10" defaultRowHeight="11.25"/>
  <cols>
    <col min="1" max="1" width="45.83203125" style="19" customWidth="1"/>
    <col min="2" max="7" width="16.83203125" style="19" customWidth="1"/>
    <col min="8" max="16384" width="12" style="19"/>
  </cols>
  <sheetData>
    <row r="1" spans="1:7" ht="56.1" customHeight="1">
      <c r="A1" s="65" t="s">
        <v>155</v>
      </c>
      <c r="B1" s="66"/>
      <c r="C1" s="66"/>
      <c r="D1" s="66"/>
      <c r="E1" s="66"/>
      <c r="F1" s="66"/>
      <c r="G1" s="67"/>
    </row>
    <row r="2" spans="1:7">
      <c r="A2" s="20"/>
      <c r="B2" s="68" t="s">
        <v>0</v>
      </c>
      <c r="C2" s="68"/>
      <c r="D2" s="68"/>
      <c r="E2" s="68"/>
      <c r="F2" s="68"/>
      <c r="G2" s="20"/>
    </row>
    <row r="3" spans="1:7" ht="22.5">
      <c r="A3" s="21" t="s">
        <v>1</v>
      </c>
      <c r="B3" s="22" t="s">
        <v>2</v>
      </c>
      <c r="C3" s="22" t="s">
        <v>84</v>
      </c>
      <c r="D3" s="22" t="s">
        <v>85</v>
      </c>
      <c r="E3" s="22" t="s">
        <v>5</v>
      </c>
      <c r="F3" s="22" t="s">
        <v>86</v>
      </c>
      <c r="G3" s="21" t="s">
        <v>87</v>
      </c>
    </row>
    <row r="4" spans="1:7">
      <c r="A4" s="23" t="s">
        <v>88</v>
      </c>
      <c r="B4" s="24"/>
      <c r="C4" s="24"/>
      <c r="D4" s="24"/>
      <c r="E4" s="24"/>
      <c r="F4" s="24"/>
      <c r="G4" s="24"/>
    </row>
    <row r="5" spans="1:7">
      <c r="A5" s="25" t="s">
        <v>150</v>
      </c>
      <c r="B5" s="13">
        <f>SUM(B6:B14)</f>
        <v>52450352</v>
      </c>
      <c r="C5" s="13">
        <f>SUM(C6:C14)</f>
        <v>7716470.1500000069</v>
      </c>
      <c r="D5" s="13">
        <f>SUM(D6:D14)</f>
        <v>60166822.150000006</v>
      </c>
      <c r="E5" s="13">
        <f>SUM(E6:E14)</f>
        <v>12063354.280000001</v>
      </c>
      <c r="F5" s="13">
        <f>SUM(F6:F14)</f>
        <v>11383666.389999999</v>
      </c>
      <c r="G5" s="13">
        <f t="shared" ref="G5" si="0">SUM(G6:G13)</f>
        <v>28830454.370000001</v>
      </c>
    </row>
    <row r="6" spans="1:7" ht="12">
      <c r="A6" s="26" t="s">
        <v>89</v>
      </c>
      <c r="B6" s="49">
        <f>[1]!'@CTA[8-2-1,F,1,#3]'</f>
        <v>20068827</v>
      </c>
      <c r="C6" s="49">
        <f>[1]!'@CTA[8-2-3,F,1,#3]'</f>
        <v>115684.76000000325</v>
      </c>
      <c r="D6" s="16">
        <f>B6+C6</f>
        <v>20184511.760000002</v>
      </c>
      <c r="E6" s="50">
        <f>[1]!'@CTA[8-2-4,J,1,#3]'</f>
        <v>4888335.0500000007</v>
      </c>
      <c r="F6" s="50">
        <f>[1]!'@CTA[8-2-7,F,1,#3]'</f>
        <v>4774668.6699999953</v>
      </c>
      <c r="G6" s="16">
        <f>D6-E6</f>
        <v>15296176.710000001</v>
      </c>
    </row>
    <row r="7" spans="1:7" ht="12">
      <c r="A7" s="26" t="s">
        <v>90</v>
      </c>
      <c r="B7" s="49">
        <f>[1]!'@CTA[8-2-1,F,2,#3]'</f>
        <v>3337968</v>
      </c>
      <c r="C7" s="49">
        <f>[1]!'@CTA[8-2-3,F,2,#3]'</f>
        <v>20510.060000001165</v>
      </c>
      <c r="D7" s="16">
        <f t="shared" ref="D7:D14" si="1">B7+C7</f>
        <v>3358478.060000001</v>
      </c>
      <c r="E7" s="50">
        <f>[1]!'@CTA[8-2-4,J,2,#3]'</f>
        <v>920689.21</v>
      </c>
      <c r="F7" s="50">
        <f>[1]!'@CTA[8-2-7,F,2,#3]'</f>
        <v>901668.55000000051</v>
      </c>
      <c r="G7" s="16">
        <f t="shared" ref="G7:G14" si="2">D7-E7</f>
        <v>2437788.850000001</v>
      </c>
    </row>
    <row r="8" spans="1:7" ht="12">
      <c r="A8" s="26" t="s">
        <v>91</v>
      </c>
      <c r="B8" s="49">
        <f>[1]!'@CTA[8-2-1,F,3,#3]'</f>
        <v>2326852</v>
      </c>
      <c r="C8" s="49">
        <f>[1]!'@CTA[8-2-3,F,3,#3]'</f>
        <v>172624.80999999982</v>
      </c>
      <c r="D8" s="16">
        <f t="shared" si="1"/>
        <v>2499476.8099999996</v>
      </c>
      <c r="E8" s="50">
        <f>[1]!'@CTA[8-2-4,J,3,#3]'</f>
        <v>464409.70999999996</v>
      </c>
      <c r="F8" s="50">
        <f>[1]!'@CTA[8-2-7,F,3,#3]'</f>
        <v>422422.57</v>
      </c>
      <c r="G8" s="16">
        <f t="shared" si="2"/>
        <v>2035067.0999999996</v>
      </c>
    </row>
    <row r="9" spans="1:7" ht="12">
      <c r="A9" s="26" t="s">
        <v>92</v>
      </c>
      <c r="B9" s="49">
        <f>[1]!'@CTA[8-2-1,F,4,#3]'</f>
        <v>1832177</v>
      </c>
      <c r="C9" s="49">
        <f>[1]!'@CTA[8-2-3,F,4,#3]'</f>
        <v>26041.859999999884</v>
      </c>
      <c r="D9" s="16">
        <f t="shared" si="1"/>
        <v>1858218.8599999999</v>
      </c>
      <c r="E9" s="50">
        <f>[1]!'@CTA[8-2-4,J,4,#3]'</f>
        <v>411859.83</v>
      </c>
      <c r="F9" s="50">
        <f>[1]!'@CTA[8-2-7,F,4,#3]'</f>
        <v>382166.28999999812</v>
      </c>
      <c r="G9" s="16">
        <f t="shared" si="2"/>
        <v>1446359.0299999998</v>
      </c>
    </row>
    <row r="10" spans="1:7" ht="12">
      <c r="A10" s="26" t="s">
        <v>93</v>
      </c>
      <c r="B10" s="49">
        <f>[1]!'@CTA[8-2-1,F,5,#3]'</f>
        <v>3071541</v>
      </c>
      <c r="C10" s="49">
        <f>[1]!'@CTA[8-2-3,F,5,#3]'</f>
        <v>200161.80000000002</v>
      </c>
      <c r="D10" s="16">
        <f t="shared" si="1"/>
        <v>3271702.8</v>
      </c>
      <c r="E10" s="50">
        <f>[1]!'@CTA[8-2-4,J,5,#3]'</f>
        <v>996291.40000000014</v>
      </c>
      <c r="F10" s="50">
        <f>[1]!'@CTA[8-2-7,F,5,#3]'</f>
        <v>958612.92000000202</v>
      </c>
      <c r="G10" s="16">
        <f t="shared" si="2"/>
        <v>2275411.3999999994</v>
      </c>
    </row>
    <row r="11" spans="1:7" ht="12">
      <c r="A11" s="26" t="s">
        <v>94</v>
      </c>
      <c r="B11" s="49">
        <f>[1]!'@CTA[8-2-1,F,6,#3]'</f>
        <v>1147631</v>
      </c>
      <c r="C11" s="49">
        <f>[1]!'@CTA[8-2-3,F,6,#3]'</f>
        <v>10495.96999999997</v>
      </c>
      <c r="D11" s="16">
        <f t="shared" si="1"/>
        <v>1158126.97</v>
      </c>
      <c r="E11" s="50">
        <f>[1]!'@CTA[8-2-4,J,6,#3]'</f>
        <v>137441.79</v>
      </c>
      <c r="F11" s="50">
        <f>[1]!'@CTA[8-2-7,F,6,#3]'</f>
        <v>123652.70000000019</v>
      </c>
      <c r="G11" s="16">
        <f t="shared" si="2"/>
        <v>1020685.1799999999</v>
      </c>
    </row>
    <row r="12" spans="1:7" ht="12">
      <c r="A12" s="26" t="s">
        <v>95</v>
      </c>
      <c r="B12" s="49">
        <f>[1]!'@CTA[8-2-1,F,7,#3]'</f>
        <v>4662045</v>
      </c>
      <c r="C12" s="49">
        <f>[1]!'@CTA[8-2-3,F,7,#3]'</f>
        <v>29631.379999999303</v>
      </c>
      <c r="D12" s="16">
        <f t="shared" si="1"/>
        <v>4691676.379999999</v>
      </c>
      <c r="E12" s="50">
        <f>[1]!'@CTA[8-2-4,J,7,#3]'</f>
        <v>1222460.9300000002</v>
      </c>
      <c r="F12" s="50">
        <f>[1]!'@CTA[8-2-7,F,7,#3]'</f>
        <v>1011024.690000002</v>
      </c>
      <c r="G12" s="16">
        <f t="shared" si="2"/>
        <v>3469215.4499999988</v>
      </c>
    </row>
    <row r="13" spans="1:7" ht="12">
      <c r="A13" s="26" t="s">
        <v>148</v>
      </c>
      <c r="B13" s="49">
        <f>[1]!'@CTA[8-2-1,F,8,#3]'</f>
        <v>1047753</v>
      </c>
      <c r="C13" s="49">
        <f>[1]!'@CTA[8-2-3,F,8,#3]'</f>
        <v>13726.250000000115</v>
      </c>
      <c r="D13" s="16">
        <f t="shared" si="1"/>
        <v>1061479.25</v>
      </c>
      <c r="E13" s="50">
        <f>[1]!'@CTA[8-2-4,J,8,#3]'</f>
        <v>211728.60000000003</v>
      </c>
      <c r="F13" s="50">
        <f>[1]!'@CTA[8-2-7,F,8,#3]'</f>
        <v>25158.189999999595</v>
      </c>
      <c r="G13" s="16">
        <f t="shared" si="2"/>
        <v>849750.64999999991</v>
      </c>
    </row>
    <row r="14" spans="1:7" ht="12">
      <c r="A14" s="26" t="s">
        <v>149</v>
      </c>
      <c r="B14" s="49">
        <f>[1]!'@CTA[8-2-1,F,9,#3]'</f>
        <v>14955558</v>
      </c>
      <c r="C14" s="49">
        <f>[1]!'@CTA[8-2-3,F,9,#3]'</f>
        <v>7127593.2600000035</v>
      </c>
      <c r="D14" s="16">
        <f t="shared" si="1"/>
        <v>22083151.260000005</v>
      </c>
      <c r="E14" s="50">
        <f>[1]!'@CTA[8-2-4,J,9,#3]'</f>
        <v>2810137.76</v>
      </c>
      <c r="F14" s="50">
        <f>[1]!'@CTA[8-2-7,F,9,#3]'</f>
        <v>2784291.810000001</v>
      </c>
      <c r="G14" s="16">
        <f t="shared" si="2"/>
        <v>19273013.500000007</v>
      </c>
    </row>
    <row r="15" spans="1:7" ht="5.0999999999999996" customHeight="1">
      <c r="A15" s="26"/>
      <c r="B15" s="16"/>
      <c r="C15" s="16"/>
      <c r="D15" s="16"/>
      <c r="E15" s="16"/>
      <c r="F15" s="16"/>
      <c r="G15" s="16"/>
    </row>
    <row r="16" spans="1:7">
      <c r="A16" s="27" t="s">
        <v>97</v>
      </c>
      <c r="B16" s="16"/>
      <c r="C16" s="16"/>
      <c r="D16" s="16"/>
      <c r="E16" s="16"/>
      <c r="F16" s="16"/>
      <c r="G16" s="16"/>
    </row>
    <row r="17" spans="1:7">
      <c r="A17" s="27" t="s">
        <v>98</v>
      </c>
      <c r="B17" s="13">
        <f>SUM(B18:B25)</f>
        <v>0</v>
      </c>
      <c r="C17" s="13">
        <f t="shared" ref="C17:G17" si="3">SUM(C18:C25)</f>
        <v>0</v>
      </c>
      <c r="D17" s="13">
        <f t="shared" si="3"/>
        <v>0</v>
      </c>
      <c r="E17" s="13">
        <f t="shared" si="3"/>
        <v>0</v>
      </c>
      <c r="F17" s="13">
        <f t="shared" si="3"/>
        <v>0</v>
      </c>
      <c r="G17" s="13">
        <f t="shared" si="3"/>
        <v>0</v>
      </c>
    </row>
    <row r="18" spans="1:7">
      <c r="A18" s="26" t="s">
        <v>89</v>
      </c>
      <c r="B18" s="16"/>
      <c r="C18" s="16"/>
      <c r="D18" s="16"/>
      <c r="E18" s="16"/>
      <c r="F18" s="16"/>
      <c r="G18" s="16">
        <f t="shared" ref="G18:G25" si="4">D18-E18</f>
        <v>0</v>
      </c>
    </row>
    <row r="19" spans="1:7">
      <c r="A19" s="26" t="s">
        <v>90</v>
      </c>
      <c r="B19" s="16"/>
      <c r="C19" s="16"/>
      <c r="D19" s="16"/>
      <c r="E19" s="16"/>
      <c r="F19" s="16"/>
      <c r="G19" s="16">
        <f t="shared" si="4"/>
        <v>0</v>
      </c>
    </row>
    <row r="20" spans="1:7">
      <c r="A20" s="26" t="s">
        <v>91</v>
      </c>
      <c r="B20" s="16"/>
      <c r="C20" s="16"/>
      <c r="D20" s="16"/>
      <c r="E20" s="16"/>
      <c r="F20" s="16"/>
      <c r="G20" s="16">
        <f t="shared" si="4"/>
        <v>0</v>
      </c>
    </row>
    <row r="21" spans="1:7">
      <c r="A21" s="26" t="s">
        <v>92</v>
      </c>
      <c r="B21" s="16"/>
      <c r="C21" s="16"/>
      <c r="D21" s="16"/>
      <c r="E21" s="16"/>
      <c r="F21" s="16"/>
      <c r="G21" s="16">
        <f t="shared" si="4"/>
        <v>0</v>
      </c>
    </row>
    <row r="22" spans="1:7">
      <c r="A22" s="26" t="s">
        <v>93</v>
      </c>
      <c r="B22" s="16"/>
      <c r="C22" s="16"/>
      <c r="D22" s="16"/>
      <c r="E22" s="16"/>
      <c r="F22" s="16"/>
      <c r="G22" s="16">
        <f t="shared" si="4"/>
        <v>0</v>
      </c>
    </row>
    <row r="23" spans="1:7">
      <c r="A23" s="26" t="s">
        <v>94</v>
      </c>
      <c r="B23" s="16"/>
      <c r="C23" s="16"/>
      <c r="D23" s="16"/>
      <c r="E23" s="16"/>
      <c r="F23" s="16"/>
      <c r="G23" s="16">
        <f t="shared" si="4"/>
        <v>0</v>
      </c>
    </row>
    <row r="24" spans="1:7">
      <c r="A24" s="26" t="s">
        <v>95</v>
      </c>
      <c r="B24" s="16"/>
      <c r="C24" s="16"/>
      <c r="D24" s="16"/>
      <c r="E24" s="16"/>
      <c r="F24" s="16"/>
      <c r="G24" s="16">
        <f t="shared" si="4"/>
        <v>0</v>
      </c>
    </row>
    <row r="25" spans="1:7">
      <c r="A25" s="26" t="s">
        <v>96</v>
      </c>
      <c r="B25" s="16"/>
      <c r="C25" s="16"/>
      <c r="D25" s="16"/>
      <c r="E25" s="16"/>
      <c r="F25" s="16"/>
      <c r="G25" s="16">
        <f t="shared" si="4"/>
        <v>0</v>
      </c>
    </row>
    <row r="26" spans="1:7" ht="5.0999999999999996" customHeight="1">
      <c r="A26" s="28"/>
      <c r="B26" s="16"/>
      <c r="C26" s="16"/>
      <c r="D26" s="16"/>
      <c r="E26" s="16"/>
      <c r="F26" s="16"/>
      <c r="G26" s="16"/>
    </row>
    <row r="27" spans="1:7">
      <c r="A27" s="25" t="s">
        <v>83</v>
      </c>
      <c r="B27" s="13">
        <f>B5+B17</f>
        <v>52450352</v>
      </c>
      <c r="C27" s="13">
        <f t="shared" ref="C27:G27" si="5">C5+C17</f>
        <v>7716470.1500000069</v>
      </c>
      <c r="D27" s="13">
        <f t="shared" si="5"/>
        <v>60166822.150000006</v>
      </c>
      <c r="E27" s="13">
        <f t="shared" si="5"/>
        <v>12063354.280000001</v>
      </c>
      <c r="F27" s="13">
        <f t="shared" si="5"/>
        <v>11383666.389999999</v>
      </c>
      <c r="G27" s="13">
        <f t="shared" si="5"/>
        <v>28830454.370000001</v>
      </c>
    </row>
    <row r="28" spans="1:7" ht="5.0999999999999996" customHeight="1">
      <c r="A28" s="29"/>
      <c r="B28" s="18"/>
      <c r="C28" s="18"/>
      <c r="D28" s="18"/>
      <c r="E28" s="18"/>
      <c r="F28" s="18"/>
      <c r="G28" s="18"/>
    </row>
  </sheetData>
  <mergeCells count="2">
    <mergeCell ref="A1:G1"/>
    <mergeCell ref="B2:F2"/>
  </mergeCells>
  <conditionalFormatting sqref="B6">
    <cfRule type="expression" priority="49" stopIfTrue="1">
      <formula>NOT(ISERROR(SEARCH("COIWIN",B6)))</formula>
    </cfRule>
    <cfRule type="expression" dxfId="20" priority="50" stopIfTrue="1">
      <formula>NOT(ISERROR(SEARCH("COI",B6)))</formula>
    </cfRule>
  </conditionalFormatting>
  <conditionalFormatting sqref="B7">
    <cfRule type="expression" priority="47" stopIfTrue="1">
      <formula>NOT(ISERROR(SEARCH("COIWIN",B7)))</formula>
    </cfRule>
    <cfRule type="expression" dxfId="19" priority="48" stopIfTrue="1">
      <formula>NOT(ISERROR(SEARCH("COI",B7)))</formula>
    </cfRule>
  </conditionalFormatting>
  <conditionalFormatting sqref="B8">
    <cfRule type="expression" priority="45" stopIfTrue="1">
      <formula>NOT(ISERROR(SEARCH("COIWIN",B8)))</formula>
    </cfRule>
    <cfRule type="expression" dxfId="18" priority="46" stopIfTrue="1">
      <formula>NOT(ISERROR(SEARCH("COI",B8)))</formula>
    </cfRule>
  </conditionalFormatting>
  <conditionalFormatting sqref="B9:B14">
    <cfRule type="expression" priority="43" stopIfTrue="1">
      <formula>NOT(ISERROR(SEARCH("COIWIN",B9)))</formula>
    </cfRule>
    <cfRule type="expression" dxfId="17" priority="44" stopIfTrue="1">
      <formula>NOT(ISERROR(SEARCH("COI",B9)))</formula>
    </cfRule>
  </conditionalFormatting>
  <conditionalFormatting sqref="E6">
    <cfRule type="expression" priority="33" stopIfTrue="1">
      <formula>NOT(ISERROR(SEARCH("COIWIN",E6)))</formula>
    </cfRule>
    <cfRule type="expression" dxfId="16" priority="34" stopIfTrue="1">
      <formula>NOT(ISERROR(SEARCH("COI",E6)))</formula>
    </cfRule>
  </conditionalFormatting>
  <conditionalFormatting sqref="E7">
    <cfRule type="expression" priority="31" stopIfTrue="1">
      <formula>NOT(ISERROR(SEARCH("COIWIN",E7)))</formula>
    </cfRule>
    <cfRule type="expression" dxfId="15" priority="32" stopIfTrue="1">
      <formula>NOT(ISERROR(SEARCH("COI",E7)))</formula>
    </cfRule>
  </conditionalFormatting>
  <conditionalFormatting sqref="E8">
    <cfRule type="expression" priority="29" stopIfTrue="1">
      <formula>NOT(ISERROR(SEARCH("COIWIN",E8)))</formula>
    </cfRule>
    <cfRule type="expression" dxfId="14" priority="30" stopIfTrue="1">
      <formula>NOT(ISERROR(SEARCH("COI",E8)))</formula>
    </cfRule>
  </conditionalFormatting>
  <conditionalFormatting sqref="E9:E14">
    <cfRule type="expression" priority="27" stopIfTrue="1">
      <formula>NOT(ISERROR(SEARCH("COIWIN",E9)))</formula>
    </cfRule>
    <cfRule type="expression" dxfId="13" priority="28" stopIfTrue="1">
      <formula>NOT(ISERROR(SEARCH("COI",E9)))</formula>
    </cfRule>
  </conditionalFormatting>
  <conditionalFormatting sqref="F6">
    <cfRule type="expression" priority="25" stopIfTrue="1">
      <formula>NOT(ISERROR(SEARCH("COIWIN",F6)))</formula>
    </cfRule>
    <cfRule type="expression" dxfId="12" priority="26" stopIfTrue="1">
      <formula>NOT(ISERROR(SEARCH("COI",F6)))</formula>
    </cfRule>
  </conditionalFormatting>
  <conditionalFormatting sqref="F7">
    <cfRule type="expression" priority="23" stopIfTrue="1">
      <formula>NOT(ISERROR(SEARCH("COIWIN",F7)))</formula>
    </cfRule>
    <cfRule type="expression" dxfId="11" priority="24" stopIfTrue="1">
      <formula>NOT(ISERROR(SEARCH("COI",F7)))</formula>
    </cfRule>
  </conditionalFormatting>
  <conditionalFormatting sqref="F8">
    <cfRule type="expression" priority="21" stopIfTrue="1">
      <formula>NOT(ISERROR(SEARCH("COIWIN",F8)))</formula>
    </cfRule>
    <cfRule type="expression" dxfId="10" priority="22" stopIfTrue="1">
      <formula>NOT(ISERROR(SEARCH("COI",F8)))</formula>
    </cfRule>
  </conditionalFormatting>
  <conditionalFormatting sqref="F9:F14">
    <cfRule type="expression" priority="19" stopIfTrue="1">
      <formula>NOT(ISERROR(SEARCH("COIWIN",F9)))</formula>
    </cfRule>
    <cfRule type="expression" dxfId="9" priority="20" stopIfTrue="1">
      <formula>NOT(ISERROR(SEARCH("COI",F9)))</formula>
    </cfRule>
  </conditionalFormatting>
  <conditionalFormatting sqref="C6">
    <cfRule type="expression" priority="17" stopIfTrue="1">
      <formula>NOT(ISERROR(SEARCH("COIWIN",C6)))</formula>
    </cfRule>
    <cfRule type="expression" dxfId="8" priority="18" stopIfTrue="1">
      <formula>NOT(ISERROR(SEARCH("COI",C6)))</formula>
    </cfRule>
  </conditionalFormatting>
  <conditionalFormatting sqref="C7">
    <cfRule type="expression" priority="15" stopIfTrue="1">
      <formula>NOT(ISERROR(SEARCH("COIWIN",C7)))</formula>
    </cfRule>
    <cfRule type="expression" dxfId="7" priority="16" stopIfTrue="1">
      <formula>NOT(ISERROR(SEARCH("COI",C7)))</formula>
    </cfRule>
  </conditionalFormatting>
  <conditionalFormatting sqref="C8">
    <cfRule type="expression" priority="13" stopIfTrue="1">
      <formula>NOT(ISERROR(SEARCH("COIWIN",C8)))</formula>
    </cfRule>
    <cfRule type="expression" dxfId="6" priority="14" stopIfTrue="1">
      <formula>NOT(ISERROR(SEARCH("COI",C8)))</formula>
    </cfRule>
  </conditionalFormatting>
  <conditionalFormatting sqref="C9">
    <cfRule type="expression" priority="11" stopIfTrue="1">
      <formula>NOT(ISERROR(SEARCH("COIWIN",C9)))</formula>
    </cfRule>
    <cfRule type="expression" dxfId="5" priority="12" stopIfTrue="1">
      <formula>NOT(ISERROR(SEARCH("COI",C9)))</formula>
    </cfRule>
  </conditionalFormatting>
  <conditionalFormatting sqref="C10">
    <cfRule type="expression" priority="9" stopIfTrue="1">
      <formula>NOT(ISERROR(SEARCH("COIWIN",C10)))</formula>
    </cfRule>
    <cfRule type="expression" dxfId="4" priority="10" stopIfTrue="1">
      <formula>NOT(ISERROR(SEARCH("COI",C10)))</formula>
    </cfRule>
  </conditionalFormatting>
  <conditionalFormatting sqref="C11">
    <cfRule type="expression" priority="7" stopIfTrue="1">
      <formula>NOT(ISERROR(SEARCH("COIWIN",C11)))</formula>
    </cfRule>
    <cfRule type="expression" dxfId="3" priority="8" stopIfTrue="1">
      <formula>NOT(ISERROR(SEARCH("COI",C11)))</formula>
    </cfRule>
  </conditionalFormatting>
  <conditionalFormatting sqref="C12">
    <cfRule type="expression" priority="5" stopIfTrue="1">
      <formula>NOT(ISERROR(SEARCH("COIWIN",C12)))</formula>
    </cfRule>
    <cfRule type="expression" dxfId="2" priority="6" stopIfTrue="1">
      <formula>NOT(ISERROR(SEARCH("COI",C12)))</formula>
    </cfRule>
  </conditionalFormatting>
  <conditionalFormatting sqref="C13">
    <cfRule type="expression" priority="3" stopIfTrue="1">
      <formula>NOT(ISERROR(SEARCH("COIWIN",C13)))</formula>
    </cfRule>
    <cfRule type="expression" dxfId="1" priority="4" stopIfTrue="1">
      <formula>NOT(ISERROR(SEARCH("COI",C13)))</formula>
    </cfRule>
  </conditionalFormatting>
  <conditionalFormatting sqref="C14">
    <cfRule type="expression" priority="1" stopIfTrue="1">
      <formula>NOT(ISERROR(SEARCH("COIWIN",C14)))</formula>
    </cfRule>
    <cfRule type="expression" dxfId="0" priority="2" stopIfTrue="1">
      <formula>NOT(ISERROR(SEARCH("COI",C14)))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showGridLines="0" workbookViewId="0">
      <selection activeCell="C18" sqref="C18"/>
    </sheetView>
  </sheetViews>
  <sheetFormatPr baseColWidth="10" defaultRowHeight="11.25"/>
  <cols>
    <col min="1" max="1" width="65.83203125" style="19" customWidth="1"/>
    <col min="2" max="7" width="17.83203125" style="19" customWidth="1"/>
    <col min="8" max="16384" width="12" style="19"/>
  </cols>
  <sheetData>
    <row r="1" spans="1:7" ht="45.95" customHeight="1">
      <c r="A1" s="65" t="s">
        <v>156</v>
      </c>
      <c r="B1" s="69"/>
      <c r="C1" s="69"/>
      <c r="D1" s="69"/>
      <c r="E1" s="69"/>
      <c r="F1" s="69"/>
      <c r="G1" s="70"/>
    </row>
    <row r="2" spans="1:7" ht="12" customHeight="1">
      <c r="A2" s="30"/>
      <c r="B2" s="68" t="s">
        <v>0</v>
      </c>
      <c r="C2" s="68"/>
      <c r="D2" s="68"/>
      <c r="E2" s="68"/>
      <c r="F2" s="68"/>
      <c r="G2" s="20"/>
    </row>
    <row r="3" spans="1:7" ht="22.5">
      <c r="A3" s="3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86</v>
      </c>
      <c r="G3" s="21" t="s">
        <v>7</v>
      </c>
    </row>
    <row r="4" spans="1:7" ht="5.0999999999999996" customHeight="1">
      <c r="A4" s="23"/>
      <c r="B4" s="24"/>
      <c r="C4" s="24"/>
      <c r="D4" s="24"/>
      <c r="E4" s="24"/>
      <c r="F4" s="24"/>
      <c r="G4" s="24"/>
    </row>
    <row r="5" spans="1:7">
      <c r="A5" s="32" t="s">
        <v>99</v>
      </c>
      <c r="B5" s="13">
        <f>B6+B16+B25+B36</f>
        <v>52030352</v>
      </c>
      <c r="C5" s="13">
        <f t="shared" ref="C5:G5" si="0">C6+C16+C25+C36</f>
        <v>8322710.2300000032</v>
      </c>
      <c r="D5" s="13">
        <f t="shared" si="0"/>
        <v>60353062.230000004</v>
      </c>
      <c r="E5" s="13">
        <f t="shared" si="0"/>
        <v>12063354.279999999</v>
      </c>
      <c r="F5" s="13">
        <f t="shared" si="0"/>
        <v>11383666.389999997</v>
      </c>
      <c r="G5" s="13">
        <f t="shared" si="0"/>
        <v>48289707.950000003</v>
      </c>
    </row>
    <row r="6" spans="1:7">
      <c r="A6" s="12" t="s">
        <v>100</v>
      </c>
      <c r="B6" s="13">
        <f>SUM(B7:B14)</f>
        <v>0</v>
      </c>
      <c r="C6" s="13">
        <f t="shared" ref="C6:G6" si="1">SUM(C7:C14)</f>
        <v>0</v>
      </c>
      <c r="D6" s="13">
        <f t="shared" si="1"/>
        <v>0</v>
      </c>
      <c r="E6" s="13">
        <f t="shared" si="1"/>
        <v>0</v>
      </c>
      <c r="F6" s="13">
        <f t="shared" si="1"/>
        <v>0</v>
      </c>
      <c r="G6" s="13">
        <f t="shared" si="1"/>
        <v>0</v>
      </c>
    </row>
    <row r="7" spans="1:7">
      <c r="A7" s="15" t="s">
        <v>101</v>
      </c>
      <c r="B7" s="16"/>
      <c r="C7" s="16"/>
      <c r="D7" s="16"/>
      <c r="E7" s="16"/>
      <c r="F7" s="16"/>
      <c r="G7" s="16">
        <f>D7-E7</f>
        <v>0</v>
      </c>
    </row>
    <row r="8" spans="1:7">
      <c r="A8" s="15" t="s">
        <v>102</v>
      </c>
      <c r="B8" s="16"/>
      <c r="C8" s="16"/>
      <c r="D8" s="16"/>
      <c r="E8" s="16"/>
      <c r="F8" s="16"/>
      <c r="G8" s="16">
        <f t="shared" ref="G8:G71" si="2">D8-E8</f>
        <v>0</v>
      </c>
    </row>
    <row r="9" spans="1:7">
      <c r="A9" s="15" t="s">
        <v>103</v>
      </c>
      <c r="B9" s="16"/>
      <c r="C9" s="16"/>
      <c r="D9" s="16"/>
      <c r="E9" s="16"/>
      <c r="F9" s="16"/>
      <c r="G9" s="16">
        <f t="shared" si="2"/>
        <v>0</v>
      </c>
    </row>
    <row r="10" spans="1:7">
      <c r="A10" s="15" t="s">
        <v>104</v>
      </c>
      <c r="B10" s="16"/>
      <c r="C10" s="16"/>
      <c r="D10" s="16"/>
      <c r="E10" s="16"/>
      <c r="F10" s="16"/>
      <c r="G10" s="16">
        <f t="shared" si="2"/>
        <v>0</v>
      </c>
    </row>
    <row r="11" spans="1:7">
      <c r="A11" s="15" t="s">
        <v>105</v>
      </c>
      <c r="B11" s="16"/>
      <c r="C11" s="16"/>
      <c r="D11" s="16"/>
      <c r="E11" s="16"/>
      <c r="F11" s="16"/>
      <c r="G11" s="16">
        <f t="shared" si="2"/>
        <v>0</v>
      </c>
    </row>
    <row r="12" spans="1:7">
      <c r="A12" s="15" t="s">
        <v>106</v>
      </c>
      <c r="B12" s="16"/>
      <c r="C12" s="16"/>
      <c r="D12" s="16"/>
      <c r="E12" s="16"/>
      <c r="F12" s="16"/>
      <c r="G12" s="16">
        <f t="shared" si="2"/>
        <v>0</v>
      </c>
    </row>
    <row r="13" spans="1:7">
      <c r="A13" s="15" t="s">
        <v>107</v>
      </c>
      <c r="B13" s="16"/>
      <c r="C13" s="16"/>
      <c r="D13" s="16"/>
      <c r="E13" s="16"/>
      <c r="F13" s="16"/>
      <c r="G13" s="16">
        <f t="shared" si="2"/>
        <v>0</v>
      </c>
    </row>
    <row r="14" spans="1:7">
      <c r="A14" s="15" t="s">
        <v>108</v>
      </c>
      <c r="B14" s="16"/>
      <c r="C14" s="16"/>
      <c r="D14" s="16"/>
      <c r="E14" s="16"/>
      <c r="F14" s="16"/>
      <c r="G14" s="16">
        <f t="shared" si="2"/>
        <v>0</v>
      </c>
    </row>
    <row r="15" spans="1:7" ht="5.0999999999999996" customHeight="1">
      <c r="A15" s="12"/>
      <c r="B15" s="13"/>
      <c r="C15" s="13"/>
      <c r="D15" s="13"/>
      <c r="E15" s="13"/>
      <c r="F15" s="13"/>
      <c r="G15" s="13"/>
    </row>
    <row r="16" spans="1:7">
      <c r="A16" s="12" t="s">
        <v>109</v>
      </c>
      <c r="B16" s="13">
        <f>SUM(B17:B23)</f>
        <v>52030352</v>
      </c>
      <c r="C16" s="13">
        <f t="shared" ref="C16:F16" si="3">SUM(C17:C23)</f>
        <v>8322710.2300000032</v>
      </c>
      <c r="D16" s="13">
        <f t="shared" si="3"/>
        <v>60353062.230000004</v>
      </c>
      <c r="E16" s="13">
        <f t="shared" si="3"/>
        <v>12063354.279999999</v>
      </c>
      <c r="F16" s="13">
        <f t="shared" si="3"/>
        <v>11383666.389999997</v>
      </c>
      <c r="G16" s="13">
        <f t="shared" si="2"/>
        <v>48289707.950000003</v>
      </c>
    </row>
    <row r="17" spans="1:7">
      <c r="A17" s="15" t="s">
        <v>110</v>
      </c>
      <c r="B17" s="16"/>
      <c r="C17" s="16"/>
      <c r="D17" s="16"/>
      <c r="E17" s="16"/>
      <c r="F17" s="16"/>
      <c r="G17" s="16">
        <f t="shared" si="2"/>
        <v>0</v>
      </c>
    </row>
    <row r="18" spans="1:7">
      <c r="A18" s="15" t="s">
        <v>111</v>
      </c>
      <c r="B18" s="16">
        <f>F6a!B4</f>
        <v>52030352</v>
      </c>
      <c r="C18" s="16">
        <f>F6a!C4</f>
        <v>8322710.2300000032</v>
      </c>
      <c r="D18" s="16">
        <f>F6a!D4</f>
        <v>60353062.230000004</v>
      </c>
      <c r="E18" s="16">
        <f>F6a!E4</f>
        <v>12063354.279999999</v>
      </c>
      <c r="F18" s="16">
        <f>F6a!F4</f>
        <v>11383666.389999997</v>
      </c>
      <c r="G18" s="16">
        <f t="shared" si="2"/>
        <v>48289707.950000003</v>
      </c>
    </row>
    <row r="19" spans="1:7">
      <c r="A19" s="15" t="s">
        <v>112</v>
      </c>
      <c r="B19" s="16"/>
      <c r="C19" s="16"/>
      <c r="D19" s="16"/>
      <c r="E19" s="16"/>
      <c r="F19" s="16"/>
      <c r="G19" s="16">
        <f t="shared" si="2"/>
        <v>0</v>
      </c>
    </row>
    <row r="20" spans="1:7">
      <c r="A20" s="15" t="s">
        <v>113</v>
      </c>
      <c r="B20" s="16"/>
      <c r="C20" s="16"/>
      <c r="D20" s="16"/>
      <c r="E20" s="16"/>
      <c r="F20" s="16"/>
      <c r="G20" s="16">
        <f t="shared" si="2"/>
        <v>0</v>
      </c>
    </row>
    <row r="21" spans="1:7">
      <c r="A21" s="15" t="s">
        <v>114</v>
      </c>
      <c r="B21" s="16"/>
      <c r="C21" s="16"/>
      <c r="D21" s="16"/>
      <c r="E21" s="16"/>
      <c r="F21" s="16"/>
      <c r="G21" s="16">
        <f t="shared" si="2"/>
        <v>0</v>
      </c>
    </row>
    <row r="22" spans="1:7">
      <c r="A22" s="15" t="s">
        <v>115</v>
      </c>
      <c r="B22" s="16"/>
      <c r="C22" s="16"/>
      <c r="D22" s="16"/>
      <c r="E22" s="16"/>
      <c r="F22" s="16"/>
      <c r="G22" s="16">
        <f t="shared" si="2"/>
        <v>0</v>
      </c>
    </row>
    <row r="23" spans="1:7">
      <c r="A23" s="15" t="s">
        <v>116</v>
      </c>
      <c r="B23" s="16"/>
      <c r="C23" s="16"/>
      <c r="D23" s="16"/>
      <c r="E23" s="16"/>
      <c r="F23" s="16"/>
      <c r="G23" s="16">
        <f t="shared" si="2"/>
        <v>0</v>
      </c>
    </row>
    <row r="24" spans="1:7" ht="5.0999999999999996" customHeight="1">
      <c r="A24" s="12"/>
      <c r="B24" s="13"/>
      <c r="C24" s="13"/>
      <c r="D24" s="13"/>
      <c r="E24" s="13"/>
      <c r="F24" s="13"/>
      <c r="G24" s="13"/>
    </row>
    <row r="25" spans="1:7">
      <c r="A25" s="12" t="s">
        <v>117</v>
      </c>
      <c r="B25" s="13">
        <f>SUM(B26:B34)</f>
        <v>0</v>
      </c>
      <c r="C25" s="13">
        <f t="shared" ref="C25:F25" si="4">SUM(C26:C34)</f>
        <v>0</v>
      </c>
      <c r="D25" s="13">
        <f t="shared" si="4"/>
        <v>0</v>
      </c>
      <c r="E25" s="13">
        <f t="shared" si="4"/>
        <v>0</v>
      </c>
      <c r="F25" s="13">
        <f t="shared" si="4"/>
        <v>0</v>
      </c>
      <c r="G25" s="13">
        <f t="shared" si="2"/>
        <v>0</v>
      </c>
    </row>
    <row r="26" spans="1:7">
      <c r="A26" s="15" t="s">
        <v>118</v>
      </c>
      <c r="B26" s="16"/>
      <c r="C26" s="16"/>
      <c r="D26" s="16"/>
      <c r="E26" s="16"/>
      <c r="F26" s="16"/>
      <c r="G26" s="16">
        <f t="shared" si="2"/>
        <v>0</v>
      </c>
    </row>
    <row r="27" spans="1:7">
      <c r="A27" s="15" t="s">
        <v>119</v>
      </c>
      <c r="B27" s="16"/>
      <c r="C27" s="16"/>
      <c r="D27" s="16"/>
      <c r="E27" s="16"/>
      <c r="F27" s="16"/>
      <c r="G27" s="16">
        <f t="shared" si="2"/>
        <v>0</v>
      </c>
    </row>
    <row r="28" spans="1:7">
      <c r="A28" s="15" t="s">
        <v>120</v>
      </c>
      <c r="B28" s="16"/>
      <c r="C28" s="16"/>
      <c r="D28" s="16"/>
      <c r="E28" s="16"/>
      <c r="F28" s="16"/>
      <c r="G28" s="16">
        <f t="shared" si="2"/>
        <v>0</v>
      </c>
    </row>
    <row r="29" spans="1:7">
      <c r="A29" s="15" t="s">
        <v>121</v>
      </c>
      <c r="B29" s="16"/>
      <c r="C29" s="16"/>
      <c r="D29" s="16"/>
      <c r="E29" s="16"/>
      <c r="F29" s="16"/>
      <c r="G29" s="16">
        <f t="shared" si="2"/>
        <v>0</v>
      </c>
    </row>
    <row r="30" spans="1:7">
      <c r="A30" s="15" t="s">
        <v>122</v>
      </c>
      <c r="B30" s="16"/>
      <c r="C30" s="16"/>
      <c r="D30" s="16"/>
      <c r="E30" s="16"/>
      <c r="F30" s="16"/>
      <c r="G30" s="16">
        <f t="shared" si="2"/>
        <v>0</v>
      </c>
    </row>
    <row r="31" spans="1:7">
      <c r="A31" s="15" t="s">
        <v>123</v>
      </c>
      <c r="B31" s="16"/>
      <c r="C31" s="16"/>
      <c r="D31" s="16"/>
      <c r="E31" s="16"/>
      <c r="F31" s="16"/>
      <c r="G31" s="16">
        <f t="shared" si="2"/>
        <v>0</v>
      </c>
    </row>
    <row r="32" spans="1:7">
      <c r="A32" s="15" t="s">
        <v>124</v>
      </c>
      <c r="B32" s="16"/>
      <c r="C32" s="16"/>
      <c r="D32" s="16"/>
      <c r="E32" s="16"/>
      <c r="F32" s="16"/>
      <c r="G32" s="16">
        <f t="shared" si="2"/>
        <v>0</v>
      </c>
    </row>
    <row r="33" spans="1:7">
      <c r="A33" s="15" t="s">
        <v>125</v>
      </c>
      <c r="B33" s="16"/>
      <c r="C33" s="16"/>
      <c r="D33" s="16"/>
      <c r="E33" s="16"/>
      <c r="F33" s="16"/>
      <c r="G33" s="16">
        <f t="shared" si="2"/>
        <v>0</v>
      </c>
    </row>
    <row r="34" spans="1:7">
      <c r="A34" s="15" t="s">
        <v>126</v>
      </c>
      <c r="B34" s="16"/>
      <c r="C34" s="16"/>
      <c r="D34" s="16"/>
      <c r="E34" s="16"/>
      <c r="F34" s="16"/>
      <c r="G34" s="16">
        <f t="shared" si="2"/>
        <v>0</v>
      </c>
    </row>
    <row r="35" spans="1:7" ht="5.0999999999999996" customHeight="1">
      <c r="A35" s="12"/>
      <c r="B35" s="13"/>
      <c r="C35" s="13"/>
      <c r="D35" s="13"/>
      <c r="E35" s="13"/>
      <c r="F35" s="13"/>
      <c r="G35" s="13"/>
    </row>
    <row r="36" spans="1:7">
      <c r="A36" s="32" t="s">
        <v>127</v>
      </c>
      <c r="B36" s="13">
        <f>SUM(B37:B40)</f>
        <v>0</v>
      </c>
      <c r="C36" s="13">
        <f t="shared" ref="C36:F36" si="5">SUM(C37:C40)</f>
        <v>0</v>
      </c>
      <c r="D36" s="13">
        <f t="shared" si="5"/>
        <v>0</v>
      </c>
      <c r="E36" s="13">
        <f t="shared" si="5"/>
        <v>0</v>
      </c>
      <c r="F36" s="13">
        <f t="shared" si="5"/>
        <v>0</v>
      </c>
      <c r="G36" s="13">
        <f t="shared" si="2"/>
        <v>0</v>
      </c>
    </row>
    <row r="37" spans="1:7">
      <c r="A37" s="15" t="s">
        <v>128</v>
      </c>
      <c r="B37" s="16"/>
      <c r="C37" s="16"/>
      <c r="D37" s="16"/>
      <c r="E37" s="16"/>
      <c r="F37" s="16"/>
      <c r="G37" s="16">
        <f t="shared" si="2"/>
        <v>0</v>
      </c>
    </row>
    <row r="38" spans="1:7" ht="22.5">
      <c r="A38" s="33" t="s">
        <v>129</v>
      </c>
      <c r="B38" s="16"/>
      <c r="C38" s="16"/>
      <c r="D38" s="16"/>
      <c r="E38" s="16"/>
      <c r="F38" s="16"/>
      <c r="G38" s="16">
        <f t="shared" si="2"/>
        <v>0</v>
      </c>
    </row>
    <row r="39" spans="1:7">
      <c r="A39" s="15" t="s">
        <v>130</v>
      </c>
      <c r="B39" s="16"/>
      <c r="C39" s="16"/>
      <c r="D39" s="16"/>
      <c r="E39" s="16"/>
      <c r="F39" s="16"/>
      <c r="G39" s="16">
        <f t="shared" si="2"/>
        <v>0</v>
      </c>
    </row>
    <row r="40" spans="1:7">
      <c r="A40" s="15" t="s">
        <v>131</v>
      </c>
      <c r="B40" s="16"/>
      <c r="C40" s="16"/>
      <c r="D40" s="16"/>
      <c r="E40" s="16"/>
      <c r="F40" s="16"/>
      <c r="G40" s="16">
        <f t="shared" si="2"/>
        <v>0</v>
      </c>
    </row>
    <row r="41" spans="1:7" ht="5.0999999999999996" customHeight="1">
      <c r="A41" s="12"/>
      <c r="B41" s="13"/>
      <c r="C41" s="13"/>
      <c r="D41" s="13"/>
      <c r="E41" s="13"/>
      <c r="F41" s="13"/>
      <c r="G41" s="13"/>
    </row>
    <row r="42" spans="1:7">
      <c r="A42" s="12" t="s">
        <v>132</v>
      </c>
      <c r="B42" s="13">
        <f>B43+B53+B62+B73</f>
        <v>0</v>
      </c>
      <c r="C42" s="13">
        <f t="shared" ref="C42:F42" si="6">C43+C53+C62+C73</f>
        <v>0</v>
      </c>
      <c r="D42" s="13">
        <f t="shared" si="6"/>
        <v>0</v>
      </c>
      <c r="E42" s="13">
        <f t="shared" si="6"/>
        <v>0</v>
      </c>
      <c r="F42" s="13">
        <f t="shared" si="6"/>
        <v>0</v>
      </c>
      <c r="G42" s="13">
        <f t="shared" si="2"/>
        <v>0</v>
      </c>
    </row>
    <row r="43" spans="1:7">
      <c r="A43" s="12" t="s">
        <v>100</v>
      </c>
      <c r="B43" s="13">
        <f>SUM(B44:B51)</f>
        <v>0</v>
      </c>
      <c r="C43" s="13">
        <f t="shared" ref="C43:F43" si="7">SUM(C44:C51)</f>
        <v>0</v>
      </c>
      <c r="D43" s="13">
        <f t="shared" si="7"/>
        <v>0</v>
      </c>
      <c r="E43" s="13">
        <f t="shared" si="7"/>
        <v>0</v>
      </c>
      <c r="F43" s="13">
        <f t="shared" si="7"/>
        <v>0</v>
      </c>
      <c r="G43" s="13">
        <f t="shared" si="2"/>
        <v>0</v>
      </c>
    </row>
    <row r="44" spans="1:7">
      <c r="A44" s="15" t="s">
        <v>101</v>
      </c>
      <c r="B44" s="16"/>
      <c r="C44" s="16"/>
      <c r="D44" s="16"/>
      <c r="E44" s="16"/>
      <c r="F44" s="16"/>
      <c r="G44" s="16">
        <f t="shared" si="2"/>
        <v>0</v>
      </c>
    </row>
    <row r="45" spans="1:7">
      <c r="A45" s="15" t="s">
        <v>102</v>
      </c>
      <c r="B45" s="16"/>
      <c r="C45" s="16"/>
      <c r="D45" s="16"/>
      <c r="E45" s="16"/>
      <c r="F45" s="16"/>
      <c r="G45" s="16">
        <f t="shared" si="2"/>
        <v>0</v>
      </c>
    </row>
    <row r="46" spans="1:7">
      <c r="A46" s="15" t="s">
        <v>103</v>
      </c>
      <c r="B46" s="16"/>
      <c r="C46" s="16"/>
      <c r="D46" s="16"/>
      <c r="E46" s="16"/>
      <c r="F46" s="16"/>
      <c r="G46" s="16">
        <f t="shared" si="2"/>
        <v>0</v>
      </c>
    </row>
    <row r="47" spans="1:7">
      <c r="A47" s="15" t="s">
        <v>104</v>
      </c>
      <c r="B47" s="16"/>
      <c r="C47" s="16"/>
      <c r="D47" s="16"/>
      <c r="E47" s="16"/>
      <c r="F47" s="16"/>
      <c r="G47" s="16">
        <f t="shared" si="2"/>
        <v>0</v>
      </c>
    </row>
    <row r="48" spans="1:7">
      <c r="A48" s="15" t="s">
        <v>105</v>
      </c>
      <c r="B48" s="16"/>
      <c r="C48" s="16"/>
      <c r="D48" s="16"/>
      <c r="E48" s="16"/>
      <c r="F48" s="16"/>
      <c r="G48" s="16">
        <f t="shared" si="2"/>
        <v>0</v>
      </c>
    </row>
    <row r="49" spans="1:7">
      <c r="A49" s="15" t="s">
        <v>106</v>
      </c>
      <c r="B49" s="16"/>
      <c r="C49" s="16"/>
      <c r="D49" s="16"/>
      <c r="E49" s="16"/>
      <c r="F49" s="16"/>
      <c r="G49" s="16">
        <f t="shared" si="2"/>
        <v>0</v>
      </c>
    </row>
    <row r="50" spans="1:7">
      <c r="A50" s="15" t="s">
        <v>107</v>
      </c>
      <c r="B50" s="16"/>
      <c r="C50" s="16"/>
      <c r="D50" s="16"/>
      <c r="E50" s="16"/>
      <c r="F50" s="16"/>
      <c r="G50" s="16">
        <f t="shared" si="2"/>
        <v>0</v>
      </c>
    </row>
    <row r="51" spans="1:7">
      <c r="A51" s="15" t="s">
        <v>108</v>
      </c>
      <c r="B51" s="16"/>
      <c r="C51" s="16"/>
      <c r="D51" s="16"/>
      <c r="E51" s="16"/>
      <c r="F51" s="16"/>
      <c r="G51" s="16">
        <f t="shared" si="2"/>
        <v>0</v>
      </c>
    </row>
    <row r="52" spans="1:7" ht="5.0999999999999996" customHeight="1">
      <c r="A52" s="12"/>
      <c r="B52" s="13"/>
      <c r="C52" s="13"/>
      <c r="D52" s="13"/>
      <c r="E52" s="13"/>
      <c r="F52" s="13"/>
      <c r="G52" s="13"/>
    </row>
    <row r="53" spans="1:7">
      <c r="A53" s="12" t="s">
        <v>109</v>
      </c>
      <c r="B53" s="13">
        <f>SUM(B54:B60)</f>
        <v>0</v>
      </c>
      <c r="C53" s="13">
        <f t="shared" ref="C53:F53" si="8">SUM(C54:C60)</f>
        <v>0</v>
      </c>
      <c r="D53" s="13">
        <f t="shared" si="8"/>
        <v>0</v>
      </c>
      <c r="E53" s="13">
        <f t="shared" si="8"/>
        <v>0</v>
      </c>
      <c r="F53" s="13">
        <f t="shared" si="8"/>
        <v>0</v>
      </c>
      <c r="G53" s="13">
        <f t="shared" si="2"/>
        <v>0</v>
      </c>
    </row>
    <row r="54" spans="1:7">
      <c r="A54" s="15" t="s">
        <v>110</v>
      </c>
      <c r="B54" s="16"/>
      <c r="C54" s="16"/>
      <c r="D54" s="16"/>
      <c r="E54" s="16"/>
      <c r="F54" s="16"/>
      <c r="G54" s="16">
        <f t="shared" si="2"/>
        <v>0</v>
      </c>
    </row>
    <row r="55" spans="1:7">
      <c r="A55" s="15" t="s">
        <v>111</v>
      </c>
      <c r="B55" s="16"/>
      <c r="C55" s="16"/>
      <c r="D55" s="16"/>
      <c r="E55" s="16"/>
      <c r="F55" s="16"/>
      <c r="G55" s="16">
        <f t="shared" si="2"/>
        <v>0</v>
      </c>
    </row>
    <row r="56" spans="1:7">
      <c r="A56" s="15" t="s">
        <v>112</v>
      </c>
      <c r="B56" s="16"/>
      <c r="C56" s="16"/>
      <c r="D56" s="16"/>
      <c r="E56" s="16"/>
      <c r="F56" s="16"/>
      <c r="G56" s="16">
        <f t="shared" si="2"/>
        <v>0</v>
      </c>
    </row>
    <row r="57" spans="1:7">
      <c r="A57" s="15" t="s">
        <v>113</v>
      </c>
      <c r="B57" s="16"/>
      <c r="C57" s="16"/>
      <c r="D57" s="16"/>
      <c r="E57" s="16"/>
      <c r="F57" s="16"/>
      <c r="G57" s="16">
        <f t="shared" si="2"/>
        <v>0</v>
      </c>
    </row>
    <row r="58" spans="1:7">
      <c r="A58" s="15" t="s">
        <v>114</v>
      </c>
      <c r="B58" s="16"/>
      <c r="C58" s="16"/>
      <c r="D58" s="16"/>
      <c r="E58" s="16"/>
      <c r="F58" s="16"/>
      <c r="G58" s="16">
        <f t="shared" si="2"/>
        <v>0</v>
      </c>
    </row>
    <row r="59" spans="1:7">
      <c r="A59" s="15" t="s">
        <v>115</v>
      </c>
      <c r="B59" s="16"/>
      <c r="C59" s="16"/>
      <c r="D59" s="16"/>
      <c r="E59" s="16"/>
      <c r="F59" s="16"/>
      <c r="G59" s="16">
        <f t="shared" si="2"/>
        <v>0</v>
      </c>
    </row>
    <row r="60" spans="1:7">
      <c r="A60" s="15" t="s">
        <v>116</v>
      </c>
      <c r="B60" s="16"/>
      <c r="C60" s="16"/>
      <c r="D60" s="16"/>
      <c r="E60" s="16"/>
      <c r="F60" s="16"/>
      <c r="G60" s="16">
        <f t="shared" si="2"/>
        <v>0</v>
      </c>
    </row>
    <row r="61" spans="1:7" ht="5.0999999999999996" customHeight="1">
      <c r="A61" s="12"/>
      <c r="B61" s="13"/>
      <c r="C61" s="13"/>
      <c r="D61" s="13"/>
      <c r="E61" s="13"/>
      <c r="F61" s="13"/>
      <c r="G61" s="13"/>
    </row>
    <row r="62" spans="1:7">
      <c r="A62" s="12" t="s">
        <v>117</v>
      </c>
      <c r="B62" s="13">
        <f>SUM(B63:B71)</f>
        <v>0</v>
      </c>
      <c r="C62" s="13">
        <f t="shared" ref="C62:F62" si="9">SUM(C63:C71)</f>
        <v>0</v>
      </c>
      <c r="D62" s="13">
        <f t="shared" si="9"/>
        <v>0</v>
      </c>
      <c r="E62" s="13">
        <f t="shared" si="9"/>
        <v>0</v>
      </c>
      <c r="F62" s="13">
        <f t="shared" si="9"/>
        <v>0</v>
      </c>
      <c r="G62" s="13">
        <f t="shared" si="2"/>
        <v>0</v>
      </c>
    </row>
    <row r="63" spans="1:7">
      <c r="A63" s="15" t="s">
        <v>118</v>
      </c>
      <c r="B63" s="16"/>
      <c r="C63" s="16"/>
      <c r="D63" s="16"/>
      <c r="E63" s="16"/>
      <c r="F63" s="16"/>
      <c r="G63" s="16">
        <f t="shared" si="2"/>
        <v>0</v>
      </c>
    </row>
    <row r="64" spans="1:7">
      <c r="A64" s="15" t="s">
        <v>119</v>
      </c>
      <c r="B64" s="16"/>
      <c r="C64" s="16"/>
      <c r="D64" s="16"/>
      <c r="E64" s="16"/>
      <c r="F64" s="16"/>
      <c r="G64" s="16">
        <f t="shared" si="2"/>
        <v>0</v>
      </c>
    </row>
    <row r="65" spans="1:7">
      <c r="A65" s="15" t="s">
        <v>120</v>
      </c>
      <c r="B65" s="16"/>
      <c r="C65" s="16"/>
      <c r="D65" s="16"/>
      <c r="E65" s="16"/>
      <c r="F65" s="16"/>
      <c r="G65" s="16">
        <f t="shared" si="2"/>
        <v>0</v>
      </c>
    </row>
    <row r="66" spans="1:7">
      <c r="A66" s="15" t="s">
        <v>121</v>
      </c>
      <c r="B66" s="16"/>
      <c r="C66" s="16"/>
      <c r="D66" s="16"/>
      <c r="E66" s="16"/>
      <c r="F66" s="16"/>
      <c r="G66" s="16">
        <f t="shared" si="2"/>
        <v>0</v>
      </c>
    </row>
    <row r="67" spans="1:7">
      <c r="A67" s="15" t="s">
        <v>122</v>
      </c>
      <c r="B67" s="16"/>
      <c r="C67" s="16"/>
      <c r="D67" s="16"/>
      <c r="E67" s="16"/>
      <c r="F67" s="16"/>
      <c r="G67" s="16">
        <f t="shared" si="2"/>
        <v>0</v>
      </c>
    </row>
    <row r="68" spans="1:7">
      <c r="A68" s="15" t="s">
        <v>123</v>
      </c>
      <c r="B68" s="16"/>
      <c r="C68" s="16"/>
      <c r="D68" s="16"/>
      <c r="E68" s="16"/>
      <c r="F68" s="16"/>
      <c r="G68" s="16">
        <f t="shared" si="2"/>
        <v>0</v>
      </c>
    </row>
    <row r="69" spans="1:7">
      <c r="A69" s="15" t="s">
        <v>124</v>
      </c>
      <c r="B69" s="16"/>
      <c r="C69" s="16"/>
      <c r="D69" s="16"/>
      <c r="E69" s="16"/>
      <c r="F69" s="16"/>
      <c r="G69" s="16">
        <f t="shared" si="2"/>
        <v>0</v>
      </c>
    </row>
    <row r="70" spans="1:7">
      <c r="A70" s="15" t="s">
        <v>125</v>
      </c>
      <c r="B70" s="16"/>
      <c r="C70" s="16"/>
      <c r="D70" s="16"/>
      <c r="E70" s="16"/>
      <c r="F70" s="16"/>
      <c r="G70" s="16">
        <f t="shared" si="2"/>
        <v>0</v>
      </c>
    </row>
    <row r="71" spans="1:7">
      <c r="A71" s="15" t="s">
        <v>126</v>
      </c>
      <c r="B71" s="16"/>
      <c r="C71" s="16"/>
      <c r="D71" s="16"/>
      <c r="E71" s="16"/>
      <c r="F71" s="16"/>
      <c r="G71" s="16">
        <f t="shared" si="2"/>
        <v>0</v>
      </c>
    </row>
    <row r="72" spans="1:7" ht="5.0999999999999996" customHeight="1">
      <c r="A72" s="12"/>
      <c r="B72" s="13"/>
      <c r="C72" s="13"/>
      <c r="D72" s="13"/>
      <c r="E72" s="13"/>
      <c r="F72" s="13"/>
      <c r="G72" s="13"/>
    </row>
    <row r="73" spans="1:7">
      <c r="A73" s="32" t="s">
        <v>127</v>
      </c>
      <c r="B73" s="13">
        <f>SUM(B74:B77)</f>
        <v>0</v>
      </c>
      <c r="C73" s="13">
        <f t="shared" ref="C73:F73" si="10">SUM(C74:C77)</f>
        <v>0</v>
      </c>
      <c r="D73" s="13">
        <f t="shared" si="10"/>
        <v>0</v>
      </c>
      <c r="E73" s="13">
        <f t="shared" si="10"/>
        <v>0</v>
      </c>
      <c r="F73" s="13">
        <f t="shared" si="10"/>
        <v>0</v>
      </c>
      <c r="G73" s="13">
        <f t="shared" ref="G73:G77" si="11">D73-E73</f>
        <v>0</v>
      </c>
    </row>
    <row r="74" spans="1:7">
      <c r="A74" s="15" t="s">
        <v>128</v>
      </c>
      <c r="B74" s="16"/>
      <c r="C74" s="16"/>
      <c r="D74" s="16"/>
      <c r="E74" s="16"/>
      <c r="F74" s="16"/>
      <c r="G74" s="16">
        <f t="shared" si="11"/>
        <v>0</v>
      </c>
    </row>
    <row r="75" spans="1:7" ht="22.5">
      <c r="A75" s="33" t="s">
        <v>129</v>
      </c>
      <c r="B75" s="16"/>
      <c r="C75" s="16"/>
      <c r="D75" s="16"/>
      <c r="E75" s="16"/>
      <c r="F75" s="16"/>
      <c r="G75" s="16">
        <f t="shared" si="11"/>
        <v>0</v>
      </c>
    </row>
    <row r="76" spans="1:7">
      <c r="A76" s="15" t="s">
        <v>130</v>
      </c>
      <c r="B76" s="16"/>
      <c r="C76" s="16"/>
      <c r="D76" s="16"/>
      <c r="E76" s="16"/>
      <c r="F76" s="16"/>
      <c r="G76" s="16">
        <f t="shared" si="11"/>
        <v>0</v>
      </c>
    </row>
    <row r="77" spans="1:7">
      <c r="A77" s="15" t="s">
        <v>131</v>
      </c>
      <c r="B77" s="16"/>
      <c r="C77" s="16"/>
      <c r="D77" s="16"/>
      <c r="E77" s="16"/>
      <c r="F77" s="16"/>
      <c r="G77" s="16">
        <f t="shared" si="11"/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83</v>
      </c>
      <c r="B79" s="13">
        <f>B5+B42</f>
        <v>52030352</v>
      </c>
      <c r="C79" s="13">
        <f t="shared" ref="C79:G79" si="12">C5+C42</f>
        <v>8322710.2300000032</v>
      </c>
      <c r="D79" s="13">
        <f t="shared" si="12"/>
        <v>60353062.230000004</v>
      </c>
      <c r="E79" s="13">
        <f t="shared" si="12"/>
        <v>12063354.279999999</v>
      </c>
      <c r="F79" s="13">
        <f t="shared" si="12"/>
        <v>11383666.389999997</v>
      </c>
      <c r="G79" s="13">
        <f t="shared" si="12"/>
        <v>48289707.950000003</v>
      </c>
    </row>
    <row r="80" spans="1:7" ht="5.0999999999999996" customHeight="1">
      <c r="A80" s="34"/>
      <c r="B80" s="35"/>
      <c r="C80" s="35"/>
      <c r="D80" s="35"/>
      <c r="E80" s="35"/>
      <c r="F80" s="35"/>
      <c r="G80" s="35"/>
    </row>
  </sheetData>
  <mergeCells count="2">
    <mergeCell ref="A1:G1"/>
    <mergeCell ref="B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workbookViewId="0">
      <selection activeCell="I3" sqref="I3"/>
    </sheetView>
  </sheetViews>
  <sheetFormatPr baseColWidth="10" defaultRowHeight="11.25"/>
  <cols>
    <col min="1" max="1" width="56.83203125" style="19" customWidth="1"/>
    <col min="2" max="7" width="16.83203125" style="19" customWidth="1"/>
    <col min="8" max="16384" width="12" style="19"/>
  </cols>
  <sheetData>
    <row r="1" spans="1:7" ht="56.1" customHeight="1">
      <c r="A1" s="65" t="s">
        <v>157</v>
      </c>
      <c r="B1" s="69"/>
      <c r="C1" s="69"/>
      <c r="D1" s="69"/>
      <c r="E1" s="69"/>
      <c r="F1" s="69"/>
      <c r="G1" s="70"/>
    </row>
    <row r="2" spans="1:7">
      <c r="A2" s="30"/>
      <c r="B2" s="68" t="s">
        <v>0</v>
      </c>
      <c r="C2" s="68"/>
      <c r="D2" s="68"/>
      <c r="E2" s="68"/>
      <c r="F2" s="68"/>
      <c r="G2" s="20"/>
    </row>
    <row r="3" spans="1:7" ht="45.75" customHeight="1">
      <c r="A3" s="36" t="s">
        <v>1</v>
      </c>
      <c r="B3" s="22" t="s">
        <v>2</v>
      </c>
      <c r="C3" s="22" t="s">
        <v>3</v>
      </c>
      <c r="D3" s="22" t="s">
        <v>4</v>
      </c>
      <c r="E3" s="22" t="s">
        <v>133</v>
      </c>
      <c r="F3" s="22" t="s">
        <v>86</v>
      </c>
      <c r="G3" s="37" t="s">
        <v>7</v>
      </c>
    </row>
    <row r="4" spans="1:7">
      <c r="A4" s="38" t="s">
        <v>134</v>
      </c>
      <c r="B4" s="39">
        <f>B5+B6+B7+B10+B11+B14</f>
        <v>17584398</v>
      </c>
      <c r="C4" s="39">
        <f t="shared" ref="C4:G4" si="0">C5+C6+C7+C10+C11+C14</f>
        <v>577140.60000000021</v>
      </c>
      <c r="D4" s="39">
        <f t="shared" si="0"/>
        <v>18161538.600000001</v>
      </c>
      <c r="E4" s="39">
        <f t="shared" si="0"/>
        <v>3914998.8100000005</v>
      </c>
      <c r="F4" s="39">
        <f t="shared" si="0"/>
        <v>3591799.2099999972</v>
      </c>
      <c r="G4" s="39">
        <f t="shared" si="0"/>
        <v>14246539.790000001</v>
      </c>
    </row>
    <row r="5" spans="1:7">
      <c r="A5" s="40" t="s">
        <v>135</v>
      </c>
      <c r="B5" s="48">
        <f>F6a!B5</f>
        <v>17584398</v>
      </c>
      <c r="C5" s="48">
        <f>F6a!C5</f>
        <v>577140.60000000021</v>
      </c>
      <c r="D5" s="48">
        <f>F6a!D5</f>
        <v>18161538.600000001</v>
      </c>
      <c r="E5" s="48">
        <f>F6a!E5</f>
        <v>3914998.8100000005</v>
      </c>
      <c r="F5" s="48">
        <f>F6a!F5</f>
        <v>3591799.2099999972</v>
      </c>
      <c r="G5" s="13">
        <f>D5-E5</f>
        <v>14246539.790000001</v>
      </c>
    </row>
    <row r="6" spans="1:7">
      <c r="A6" s="40" t="s">
        <v>136</v>
      </c>
      <c r="B6" s="13"/>
      <c r="C6" s="13"/>
      <c r="D6" s="13"/>
      <c r="E6" s="13"/>
      <c r="F6" s="13"/>
      <c r="G6" s="13">
        <f>D6-E6</f>
        <v>0</v>
      </c>
    </row>
    <row r="7" spans="1:7">
      <c r="A7" s="40" t="s">
        <v>137</v>
      </c>
      <c r="B7" s="13">
        <f>SUM(B8:B9)</f>
        <v>0</v>
      </c>
      <c r="C7" s="13">
        <f t="shared" ref="C7:G7" si="1">SUM(C8:C9)</f>
        <v>0</v>
      </c>
      <c r="D7" s="13">
        <f t="shared" si="1"/>
        <v>0</v>
      </c>
      <c r="E7" s="13">
        <f t="shared" si="1"/>
        <v>0</v>
      </c>
      <c r="F7" s="13">
        <f t="shared" si="1"/>
        <v>0</v>
      </c>
      <c r="G7" s="13">
        <f t="shared" si="1"/>
        <v>0</v>
      </c>
    </row>
    <row r="8" spans="1:7">
      <c r="A8" s="33" t="s">
        <v>138</v>
      </c>
      <c r="B8" s="16"/>
      <c r="C8" s="16"/>
      <c r="D8" s="16"/>
      <c r="E8" s="16"/>
      <c r="F8" s="16"/>
      <c r="G8" s="16">
        <f t="shared" ref="G8:G14" si="2">D8-E8</f>
        <v>0</v>
      </c>
    </row>
    <row r="9" spans="1:7">
      <c r="A9" s="33" t="s">
        <v>139</v>
      </c>
      <c r="B9" s="16"/>
      <c r="C9" s="16"/>
      <c r="D9" s="16"/>
      <c r="E9" s="16"/>
      <c r="F9" s="16"/>
      <c r="G9" s="16">
        <f t="shared" si="2"/>
        <v>0</v>
      </c>
    </row>
    <row r="10" spans="1:7">
      <c r="A10" s="40" t="s">
        <v>140</v>
      </c>
      <c r="B10" s="13"/>
      <c r="C10" s="13"/>
      <c r="D10" s="13"/>
      <c r="E10" s="13"/>
      <c r="F10" s="13"/>
      <c r="G10" s="13">
        <f t="shared" si="2"/>
        <v>0</v>
      </c>
    </row>
    <row r="11" spans="1:7" ht="22.5">
      <c r="A11" s="40" t="s">
        <v>141</v>
      </c>
      <c r="B11" s="13">
        <f>SUM(B12:B13)</f>
        <v>0</v>
      </c>
      <c r="C11" s="13">
        <f t="shared" ref="C11:F11" si="3">SUM(C12:C13)</f>
        <v>0</v>
      </c>
      <c r="D11" s="13">
        <f t="shared" si="3"/>
        <v>0</v>
      </c>
      <c r="E11" s="13">
        <f t="shared" si="3"/>
        <v>0</v>
      </c>
      <c r="F11" s="13">
        <f t="shared" si="3"/>
        <v>0</v>
      </c>
      <c r="G11" s="13">
        <f t="shared" si="2"/>
        <v>0</v>
      </c>
    </row>
    <row r="12" spans="1:7">
      <c r="A12" s="33" t="s">
        <v>142</v>
      </c>
      <c r="B12" s="16"/>
      <c r="C12" s="16"/>
      <c r="D12" s="16"/>
      <c r="E12" s="16"/>
      <c r="F12" s="16"/>
      <c r="G12" s="16">
        <f t="shared" si="2"/>
        <v>0</v>
      </c>
    </row>
    <row r="13" spans="1:7">
      <c r="A13" s="33" t="s">
        <v>143</v>
      </c>
      <c r="B13" s="16"/>
      <c r="C13" s="16"/>
      <c r="D13" s="16"/>
      <c r="E13" s="16"/>
      <c r="F13" s="16"/>
      <c r="G13" s="16">
        <f t="shared" si="2"/>
        <v>0</v>
      </c>
    </row>
    <row r="14" spans="1:7">
      <c r="A14" s="40" t="s">
        <v>144</v>
      </c>
      <c r="B14" s="13"/>
      <c r="C14" s="13"/>
      <c r="D14" s="13"/>
      <c r="E14" s="13"/>
      <c r="F14" s="13"/>
      <c r="G14" s="13">
        <f t="shared" si="2"/>
        <v>0</v>
      </c>
    </row>
    <row r="15" spans="1:7" ht="5.0999999999999996" customHeight="1">
      <c r="A15" s="40"/>
      <c r="B15" s="16"/>
      <c r="C15" s="16"/>
      <c r="D15" s="16"/>
      <c r="E15" s="16"/>
      <c r="F15" s="16"/>
      <c r="G15" s="16"/>
    </row>
    <row r="16" spans="1:7">
      <c r="A16" s="27" t="s">
        <v>145</v>
      </c>
      <c r="B16" s="13">
        <f>B17+B18+B19+B22+B23+B26</f>
        <v>0</v>
      </c>
      <c r="C16" s="13">
        <f t="shared" ref="C16:G16" si="4">C17+C18+C19+C22+C23+C26</f>
        <v>0</v>
      </c>
      <c r="D16" s="13">
        <f t="shared" si="4"/>
        <v>0</v>
      </c>
      <c r="E16" s="13">
        <f t="shared" si="4"/>
        <v>0</v>
      </c>
      <c r="F16" s="13">
        <f t="shared" si="4"/>
        <v>0</v>
      </c>
      <c r="G16" s="13">
        <f t="shared" si="4"/>
        <v>0</v>
      </c>
    </row>
    <row r="17" spans="1:7">
      <c r="A17" s="40" t="s">
        <v>135</v>
      </c>
      <c r="B17" s="13"/>
      <c r="C17" s="13"/>
      <c r="D17" s="13"/>
      <c r="E17" s="13"/>
      <c r="F17" s="13"/>
      <c r="G17" s="13">
        <f t="shared" ref="G17:G26" si="5">D17-E17</f>
        <v>0</v>
      </c>
    </row>
    <row r="18" spans="1:7">
      <c r="A18" s="40" t="s">
        <v>136</v>
      </c>
      <c r="B18" s="13"/>
      <c r="C18" s="13"/>
      <c r="D18" s="13"/>
      <c r="E18" s="13"/>
      <c r="F18" s="13"/>
      <c r="G18" s="13">
        <f t="shared" si="5"/>
        <v>0</v>
      </c>
    </row>
    <row r="19" spans="1:7">
      <c r="A19" s="40" t="s">
        <v>137</v>
      </c>
      <c r="B19" s="13">
        <f>SUM(B20:B21)</f>
        <v>0</v>
      </c>
      <c r="C19" s="13">
        <f t="shared" ref="C19:F19" si="6">SUM(C20:C21)</f>
        <v>0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5"/>
        <v>0</v>
      </c>
    </row>
    <row r="20" spans="1:7">
      <c r="A20" s="33" t="s">
        <v>138</v>
      </c>
      <c r="B20" s="16"/>
      <c r="C20" s="16"/>
      <c r="D20" s="16"/>
      <c r="E20" s="16"/>
      <c r="F20" s="16"/>
      <c r="G20" s="16">
        <f t="shared" si="5"/>
        <v>0</v>
      </c>
    </row>
    <row r="21" spans="1:7">
      <c r="A21" s="33" t="s">
        <v>139</v>
      </c>
      <c r="B21" s="16"/>
      <c r="C21" s="16"/>
      <c r="D21" s="16"/>
      <c r="E21" s="16"/>
      <c r="F21" s="16"/>
      <c r="G21" s="16">
        <f t="shared" si="5"/>
        <v>0</v>
      </c>
    </row>
    <row r="22" spans="1:7">
      <c r="A22" s="40" t="s">
        <v>140</v>
      </c>
      <c r="B22" s="13"/>
      <c r="C22" s="13"/>
      <c r="D22" s="13"/>
      <c r="E22" s="13"/>
      <c r="F22" s="13"/>
      <c r="G22" s="13">
        <f t="shared" si="5"/>
        <v>0</v>
      </c>
    </row>
    <row r="23" spans="1:7" ht="22.5">
      <c r="A23" s="40" t="s">
        <v>141</v>
      </c>
      <c r="B23" s="13">
        <f>SUM(B24:B25)</f>
        <v>0</v>
      </c>
      <c r="C23" s="13">
        <f t="shared" ref="C23:F23" si="7">SUM(C24:C25)</f>
        <v>0</v>
      </c>
      <c r="D23" s="13">
        <f t="shared" si="7"/>
        <v>0</v>
      </c>
      <c r="E23" s="13">
        <f t="shared" si="7"/>
        <v>0</v>
      </c>
      <c r="F23" s="13">
        <f t="shared" si="7"/>
        <v>0</v>
      </c>
      <c r="G23" s="13">
        <f t="shared" si="5"/>
        <v>0</v>
      </c>
    </row>
    <row r="24" spans="1:7">
      <c r="A24" s="33" t="s">
        <v>142</v>
      </c>
      <c r="B24" s="16"/>
      <c r="C24" s="16"/>
      <c r="D24" s="16"/>
      <c r="E24" s="16"/>
      <c r="F24" s="16"/>
      <c r="G24" s="16">
        <f t="shared" si="5"/>
        <v>0</v>
      </c>
    </row>
    <row r="25" spans="1:7">
      <c r="A25" s="33" t="s">
        <v>143</v>
      </c>
      <c r="B25" s="16"/>
      <c r="C25" s="16"/>
      <c r="D25" s="16"/>
      <c r="E25" s="16"/>
      <c r="F25" s="16"/>
      <c r="G25" s="16">
        <f t="shared" si="5"/>
        <v>0</v>
      </c>
    </row>
    <row r="26" spans="1:7">
      <c r="A26" s="40" t="s">
        <v>144</v>
      </c>
      <c r="B26" s="13"/>
      <c r="C26" s="13"/>
      <c r="D26" s="13"/>
      <c r="E26" s="13"/>
      <c r="F26" s="13"/>
      <c r="G26" s="13">
        <f t="shared" si="5"/>
        <v>0</v>
      </c>
    </row>
    <row r="27" spans="1:7">
      <c r="A27" s="27" t="s">
        <v>146</v>
      </c>
      <c r="B27" s="13">
        <f>B4+B16</f>
        <v>17584398</v>
      </c>
      <c r="C27" s="13">
        <f t="shared" ref="C27:G27" si="8">C4+C16</f>
        <v>577140.60000000021</v>
      </c>
      <c r="D27" s="13">
        <f t="shared" si="8"/>
        <v>18161538.600000001</v>
      </c>
      <c r="E27" s="13">
        <f t="shared" si="8"/>
        <v>3914998.8100000005</v>
      </c>
      <c r="F27" s="13">
        <f t="shared" si="8"/>
        <v>3591799.2099999972</v>
      </c>
      <c r="G27" s="13">
        <f t="shared" si="8"/>
        <v>14246539.790000001</v>
      </c>
    </row>
    <row r="28" spans="1:7" ht="5.0999999999999996" customHeight="1">
      <c r="A28" s="41"/>
      <c r="B28" s="18"/>
      <c r="C28" s="18"/>
      <c r="D28" s="18"/>
      <c r="E28" s="18"/>
      <c r="F28" s="18"/>
      <c r="G28" s="18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Hoja1</vt:lpstr>
      <vt:lpstr>F6a</vt:lpstr>
      <vt:lpstr>F6b</vt:lpstr>
      <vt:lpstr>F6c</vt:lpstr>
      <vt:lpstr>F6d</vt:lpstr>
      <vt:lpstr>'F6a'!Títulos_a_imprimir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2017-02-27T19:23:09Z</cp:lastPrinted>
  <dcterms:created xsi:type="dcterms:W3CDTF">2017-01-11T17:22:36Z</dcterms:created>
  <dcterms:modified xsi:type="dcterms:W3CDTF">2017-04-26T22:41:25Z</dcterms:modified>
</cp:coreProperties>
</file>